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CGCC\CAC\DOCUMENTOS DO SETOR DE CONTRATOS\A - DOCS ESCANEADOS\BRASFORT EMPRESA DE SEGURANÇA LTDA - VIGILÂNCIA\CONTRATO Nº 12-2017-MME - VIGILÂNCIA\"/>
    </mc:Choice>
  </mc:AlternateContent>
  <bookViews>
    <workbookView xWindow="0" yWindow="0" windowWidth="24000" windowHeight="9600" tabRatio="895" activeTab="4"/>
  </bookViews>
  <sheets>
    <sheet name="DADOS" sheetId="8" r:id="rId1"/>
    <sheet name="PROPOSTA INICIAL" sheetId="9" r:id="rId2"/>
    <sheet name="SUPERVISOR - DIURNO - 44h" sheetId="36" r:id="rId3"/>
    <sheet name="VIGILANTE - DIURNO 12x36 DD" sheetId="39" r:id="rId4"/>
    <sheet name="VIGILANTE - NOTURNO 12x36 ND" sheetId="40" r:id="rId5"/>
    <sheet name="UNIFORMES" sheetId="32" r:id="rId6"/>
    <sheet name="MAT e EQUIPS" sheetId="38" r:id="rId7"/>
    <sheet name="RESUMO" sheetId="10" r:id="rId8"/>
    <sheet name="SÚMULA 444" sheetId="31" state="hidden" r:id="rId9"/>
  </sheets>
  <externalReferences>
    <externalReference r:id="rId10"/>
  </externalReferences>
  <definedNames>
    <definedName name="_xlnm.Print_Area" localSheetId="0">DADOS!$A$1:$M$121</definedName>
    <definedName name="_xlnm.Print_Area" localSheetId="6">'MAT e EQUIPS'!$A$1:$H$56</definedName>
    <definedName name="_xlnm.Print_Area" localSheetId="1">'PROPOSTA INICIAL'!$A$1:$H$75</definedName>
    <definedName name="_xlnm.Print_Area" localSheetId="7">RESUMO!$A$1:$H$55</definedName>
    <definedName name="_xlnm.Print_Area" localSheetId="8">'SÚMULA 444'!$A$1:$I$28</definedName>
    <definedName name="_xlnm.Print_Area" localSheetId="2">'SUPERVISOR - DIURNO - 44h'!$A$1:$M$139</definedName>
    <definedName name="_xlnm.Print_Area" localSheetId="5">UNIFORMES!$A$1:$G$53</definedName>
    <definedName name="_xlnm.Print_Area" localSheetId="3">'VIGILANTE - DIURNO 12x36 DD'!$A$1:$M$139</definedName>
    <definedName name="_xlnm.Print_Area" localSheetId="4">'VIGILANTE - NOTURNO 12x36 ND'!$A$1:$M$139</definedName>
    <definedName name="Excel_BuiltIn_Print_Area_1">#REF!</definedName>
    <definedName name="Excel_BuiltIn_Print_Area_2">#REF!</definedName>
    <definedName name="Tipo_de_Joranda_de_Trabalho" localSheetId="8">OFFSET([1]Apoio!$A$1,1,0,COUNTA([1]Apoio!$A$1:$A$65536)-1,1)</definedName>
    <definedName name="Tipo_de_Joranda_de_Trabalho">OFFSET([1]Apoio!$A$1,1,0,COUNTA([1]Apoio!$A$1:$A$65536)-1,1)</definedName>
    <definedName name="UN" localSheetId="6">#REF!</definedName>
    <definedName name="UN" localSheetId="2">#REF!</definedName>
    <definedName name="UN" localSheetId="3">#REF!</definedName>
    <definedName name="UN" localSheetId="4">#REF!</definedName>
    <definedName name="UN">#REF!</definedName>
  </definedNames>
  <calcPr calcId="162913" fullPrecision="0"/>
</workbook>
</file>

<file path=xl/calcChain.xml><?xml version="1.0" encoding="utf-8"?>
<calcChain xmlns="http://schemas.openxmlformats.org/spreadsheetml/2006/main">
  <c r="M127" i="39" l="1"/>
  <c r="M128" i="40"/>
  <c r="M126" i="40"/>
  <c r="M127" i="40"/>
  <c r="G65" i="10" l="1"/>
  <c r="E65" i="10"/>
  <c r="D65" i="10"/>
  <c r="F65" i="10"/>
  <c r="H65" i="10" s="1"/>
  <c r="H66" i="10" s="1"/>
  <c r="G64" i="10"/>
  <c r="E64" i="10"/>
  <c r="F64" i="10" s="1"/>
  <c r="H64" i="10" s="1"/>
  <c r="D64" i="10"/>
  <c r="C64" i="10"/>
  <c r="G63" i="10"/>
  <c r="E63" i="10"/>
  <c r="D63" i="10"/>
  <c r="B63" i="10"/>
  <c r="F43" i="10"/>
  <c r="K46" i="36"/>
  <c r="M46" i="40"/>
  <c r="K46" i="40"/>
  <c r="M46" i="39"/>
  <c r="K46" i="39"/>
  <c r="K33" i="40"/>
  <c r="K35" i="40" s="1"/>
  <c r="K31" i="40"/>
  <c r="K47" i="39"/>
  <c r="K31" i="39"/>
  <c r="L128" i="40"/>
  <c r="L127" i="40"/>
  <c r="J127" i="40"/>
  <c r="J126" i="40"/>
  <c r="J125" i="40" s="1"/>
  <c r="L125" i="40"/>
  <c r="L124" i="40"/>
  <c r="J119" i="40"/>
  <c r="J107" i="40"/>
  <c r="J106" i="40"/>
  <c r="J105" i="40"/>
  <c r="J104" i="40"/>
  <c r="J103" i="40"/>
  <c r="J108" i="40" s="1"/>
  <c r="J102" i="40"/>
  <c r="J98" i="40"/>
  <c r="J117" i="40"/>
  <c r="L97" i="40"/>
  <c r="L96" i="40"/>
  <c r="L95" i="40"/>
  <c r="L93" i="40"/>
  <c r="L92" i="40"/>
  <c r="L87" i="40"/>
  <c r="J87" i="40"/>
  <c r="L86" i="40"/>
  <c r="L88" i="40" s="1"/>
  <c r="J86" i="40"/>
  <c r="J79" i="40"/>
  <c r="L78" i="40"/>
  <c r="J78" i="40"/>
  <c r="J73" i="40"/>
  <c r="J72" i="40"/>
  <c r="J71" i="40"/>
  <c r="J70" i="40"/>
  <c r="J69" i="40"/>
  <c r="L68" i="40"/>
  <c r="J68" i="40"/>
  <c r="J67" i="40"/>
  <c r="J66" i="40"/>
  <c r="J52" i="40"/>
  <c r="J51" i="40"/>
  <c r="J50" i="40"/>
  <c r="J49" i="40"/>
  <c r="M48" i="40"/>
  <c r="K48" i="40"/>
  <c r="K47" i="40"/>
  <c r="J45" i="40"/>
  <c r="M44" i="40"/>
  <c r="K44" i="40"/>
  <c r="K45" i="40" s="1"/>
  <c r="J44" i="40"/>
  <c r="J33" i="40"/>
  <c r="L32" i="40"/>
  <c r="J32" i="40"/>
  <c r="M31" i="40"/>
  <c r="M31" i="39"/>
  <c r="L128" i="39"/>
  <c r="L124" i="39"/>
  <c r="L105" i="39"/>
  <c r="L102" i="39"/>
  <c r="L93" i="39"/>
  <c r="L95" i="39"/>
  <c r="L96" i="39"/>
  <c r="L92" i="39"/>
  <c r="L67" i="39"/>
  <c r="L70" i="39"/>
  <c r="L66" i="39"/>
  <c r="I50" i="39"/>
  <c r="I51" i="39"/>
  <c r="I52" i="39"/>
  <c r="I49" i="39"/>
  <c r="M49" i="39" s="1"/>
  <c r="K50" i="39"/>
  <c r="K51" i="39"/>
  <c r="K52" i="39"/>
  <c r="K49" i="39"/>
  <c r="G46" i="39"/>
  <c r="M44" i="39"/>
  <c r="L87" i="39"/>
  <c r="L86" i="39"/>
  <c r="M48" i="39"/>
  <c r="L32" i="39"/>
  <c r="K44" i="39"/>
  <c r="J13" i="39"/>
  <c r="J16" i="39"/>
  <c r="J19" i="39"/>
  <c r="J24" i="39"/>
  <c r="J26" i="39"/>
  <c r="J27" i="39"/>
  <c r="J32" i="39"/>
  <c r="J33" i="39"/>
  <c r="J44" i="39"/>
  <c r="J45" i="39"/>
  <c r="K45" i="39" s="1"/>
  <c r="J49" i="39"/>
  <c r="J50" i="39"/>
  <c r="J51" i="39"/>
  <c r="J52" i="39"/>
  <c r="J66" i="39"/>
  <c r="J67" i="39"/>
  <c r="J68" i="39"/>
  <c r="J69" i="39"/>
  <c r="J70" i="39"/>
  <c r="J71" i="39"/>
  <c r="J72" i="39"/>
  <c r="J73" i="39"/>
  <c r="J78" i="39"/>
  <c r="J79" i="39"/>
  <c r="J80" i="39"/>
  <c r="J86" i="39"/>
  <c r="J87" i="39"/>
  <c r="J98" i="39"/>
  <c r="J117" i="39"/>
  <c r="J102" i="39"/>
  <c r="J103" i="39"/>
  <c r="J104" i="39"/>
  <c r="J105" i="39"/>
  <c r="J106" i="39"/>
  <c r="J107" i="39"/>
  <c r="J109" i="39"/>
  <c r="J119" i="39"/>
  <c r="J126" i="39"/>
  <c r="J125" i="39" s="1"/>
  <c r="J127" i="39"/>
  <c r="H106" i="40"/>
  <c r="L106" i="40" s="1"/>
  <c r="H78" i="40"/>
  <c r="H69" i="40"/>
  <c r="H73" i="40"/>
  <c r="L73" i="40" s="1"/>
  <c r="I31" i="40"/>
  <c r="I33" i="40" s="1"/>
  <c r="H119" i="40"/>
  <c r="L119" i="40" s="1"/>
  <c r="H86" i="40"/>
  <c r="H52" i="40"/>
  <c r="H51" i="40"/>
  <c r="H50" i="40"/>
  <c r="H49" i="40"/>
  <c r="H48" i="40"/>
  <c r="I48" i="40" s="1"/>
  <c r="H47" i="40"/>
  <c r="I47" i="40" s="1"/>
  <c r="H46" i="40"/>
  <c r="H38" i="40"/>
  <c r="H32" i="40"/>
  <c r="H16" i="40"/>
  <c r="H13" i="40"/>
  <c r="I46" i="39"/>
  <c r="L24" i="36"/>
  <c r="M46" i="36"/>
  <c r="M31" i="36"/>
  <c r="B32" i="36"/>
  <c r="F32" i="36"/>
  <c r="H32" i="36"/>
  <c r="J32" i="36"/>
  <c r="L32" i="36"/>
  <c r="H98" i="36"/>
  <c r="H87" i="36"/>
  <c r="H86" i="36"/>
  <c r="H80" i="36"/>
  <c r="H82" i="36" s="1"/>
  <c r="I44" i="36"/>
  <c r="I46" i="36"/>
  <c r="I48" i="36"/>
  <c r="I47" i="36"/>
  <c r="I31" i="36"/>
  <c r="I45" i="36" s="1"/>
  <c r="I54" i="36" s="1"/>
  <c r="I134" i="36" s="1"/>
  <c r="F45" i="10"/>
  <c r="B45" i="10"/>
  <c r="F44" i="10"/>
  <c r="B44" i="10"/>
  <c r="B43" i="10"/>
  <c r="G8" i="10"/>
  <c r="F17" i="10"/>
  <c r="G9" i="10"/>
  <c r="G10" i="10"/>
  <c r="F19" i="10"/>
  <c r="E36" i="10"/>
  <c r="E35" i="10"/>
  <c r="E34" i="10"/>
  <c r="B36" i="10"/>
  <c r="B53" i="10"/>
  <c r="C35" i="10"/>
  <c r="B35" i="10"/>
  <c r="B52" i="10"/>
  <c r="B34" i="10"/>
  <c r="B51" i="10"/>
  <c r="G53" i="38"/>
  <c r="H53" i="38" s="1"/>
  <c r="F53" i="38"/>
  <c r="G52" i="38"/>
  <c r="H52" i="38" s="1"/>
  <c r="F52" i="38"/>
  <c r="G51" i="38"/>
  <c r="F51" i="38"/>
  <c r="G42" i="38"/>
  <c r="H42" i="38" s="1"/>
  <c r="F42" i="38"/>
  <c r="G41" i="38"/>
  <c r="F41" i="38"/>
  <c r="G40" i="38"/>
  <c r="H40" i="38" s="1"/>
  <c r="F40" i="38"/>
  <c r="G39" i="38"/>
  <c r="F39" i="38"/>
  <c r="F50" i="32"/>
  <c r="G50" i="32" s="1"/>
  <c r="F49" i="32"/>
  <c r="G49" i="32" s="1"/>
  <c r="F48" i="32"/>
  <c r="G48" i="32" s="1"/>
  <c r="F47" i="32"/>
  <c r="G47" i="32" s="1"/>
  <c r="F46" i="32"/>
  <c r="G46" i="32" s="1"/>
  <c r="G45" i="32"/>
  <c r="F45" i="32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B32" i="39"/>
  <c r="H32" i="39"/>
  <c r="L27" i="40"/>
  <c r="J27" i="40"/>
  <c r="L24" i="40"/>
  <c r="J24" i="40"/>
  <c r="L26" i="40"/>
  <c r="J26" i="40"/>
  <c r="M19" i="40"/>
  <c r="L19" i="40"/>
  <c r="J19" i="40"/>
  <c r="L16" i="40"/>
  <c r="J16" i="40"/>
  <c r="L13" i="40"/>
  <c r="J13" i="40"/>
  <c r="H38" i="39"/>
  <c r="I31" i="39"/>
  <c r="I38" i="39" s="1"/>
  <c r="H26" i="39"/>
  <c r="H19" i="39"/>
  <c r="H127" i="39"/>
  <c r="L127" i="39" s="1"/>
  <c r="H126" i="39"/>
  <c r="L126" i="39" s="1"/>
  <c r="H119" i="39"/>
  <c r="L119" i="39" s="1"/>
  <c r="H109" i="39"/>
  <c r="H107" i="39"/>
  <c r="L107" i="39" s="1"/>
  <c r="H106" i="39"/>
  <c r="L106" i="39" s="1"/>
  <c r="H105" i="39"/>
  <c r="H104" i="39"/>
  <c r="H103" i="39"/>
  <c r="L103" i="39" s="1"/>
  <c r="H102" i="39"/>
  <c r="H97" i="39"/>
  <c r="L97" i="39" s="1"/>
  <c r="H94" i="39"/>
  <c r="L94" i="39" s="1"/>
  <c r="H87" i="39"/>
  <c r="H88" i="39" s="1"/>
  <c r="H116" i="39" s="1"/>
  <c r="L116" i="39" s="1"/>
  <c r="H86" i="39"/>
  <c r="H79" i="39"/>
  <c r="H78" i="39"/>
  <c r="L78" i="39" s="1"/>
  <c r="H73" i="39"/>
  <c r="L73" i="39" s="1"/>
  <c r="H72" i="39"/>
  <c r="L72" i="39" s="1"/>
  <c r="H71" i="39"/>
  <c r="L71" i="39" s="1"/>
  <c r="H70" i="39"/>
  <c r="H69" i="39"/>
  <c r="L69" i="39" s="1"/>
  <c r="H68" i="39"/>
  <c r="H67" i="39"/>
  <c r="H66" i="39"/>
  <c r="H52" i="39"/>
  <c r="H51" i="39"/>
  <c r="H50" i="39"/>
  <c r="H49" i="39"/>
  <c r="I48" i="39"/>
  <c r="I47" i="39"/>
  <c r="H45" i="39"/>
  <c r="H44" i="39"/>
  <c r="H33" i="39"/>
  <c r="H27" i="39"/>
  <c r="H24" i="39"/>
  <c r="H16" i="39"/>
  <c r="H13" i="39"/>
  <c r="A5" i="36"/>
  <c r="A7" i="36"/>
  <c r="A8" i="36"/>
  <c r="F12" i="36"/>
  <c r="F13" i="36"/>
  <c r="J13" i="36"/>
  <c r="L13" i="36"/>
  <c r="F14" i="36"/>
  <c r="F15" i="36"/>
  <c r="F16" i="36"/>
  <c r="J16" i="36"/>
  <c r="L16" i="36"/>
  <c r="E19" i="36"/>
  <c r="F19" i="36"/>
  <c r="K19" i="36"/>
  <c r="F24" i="36"/>
  <c r="J24" i="36"/>
  <c r="F25" i="36"/>
  <c r="G31" i="36"/>
  <c r="J25" i="36"/>
  <c r="F26" i="36"/>
  <c r="J26" i="36"/>
  <c r="L26" i="36"/>
  <c r="F27" i="36"/>
  <c r="J27" i="36"/>
  <c r="L27" i="36"/>
  <c r="K31" i="36"/>
  <c r="B33" i="36"/>
  <c r="F33" i="36"/>
  <c r="J33" i="36"/>
  <c r="L33" i="36"/>
  <c r="B35" i="36"/>
  <c r="F35" i="36"/>
  <c r="J35" i="36"/>
  <c r="L35" i="36"/>
  <c r="B38" i="36"/>
  <c r="F38" i="36"/>
  <c r="J38" i="36"/>
  <c r="L38" i="36"/>
  <c r="B44" i="36"/>
  <c r="J44" i="36"/>
  <c r="L44" i="36"/>
  <c r="F45" i="36"/>
  <c r="J45" i="36"/>
  <c r="L45" i="36"/>
  <c r="B46" i="36"/>
  <c r="F46" i="36"/>
  <c r="G46" i="36" s="1"/>
  <c r="J46" i="36"/>
  <c r="L46" i="36"/>
  <c r="B47" i="36"/>
  <c r="F47" i="36"/>
  <c r="G47" i="36" s="1"/>
  <c r="J47" i="36"/>
  <c r="L47" i="36"/>
  <c r="M47" i="36" s="1"/>
  <c r="B48" i="36"/>
  <c r="F48" i="36"/>
  <c r="G48" i="36"/>
  <c r="J48" i="36"/>
  <c r="K48" i="36" s="1"/>
  <c r="L48" i="36"/>
  <c r="M48" i="36"/>
  <c r="B49" i="36"/>
  <c r="F49" i="36"/>
  <c r="G49" i="36"/>
  <c r="J49" i="36"/>
  <c r="L49" i="36"/>
  <c r="M49" i="36"/>
  <c r="B50" i="36"/>
  <c r="F50" i="36"/>
  <c r="G50" i="36" s="1"/>
  <c r="J50" i="36"/>
  <c r="L50" i="36"/>
  <c r="B51" i="36"/>
  <c r="F51" i="36"/>
  <c r="J51" i="36"/>
  <c r="L51" i="36"/>
  <c r="B52" i="36"/>
  <c r="F52" i="36"/>
  <c r="K52" i="36" s="1"/>
  <c r="J52" i="36"/>
  <c r="L52" i="36"/>
  <c r="B58" i="36"/>
  <c r="B59" i="36"/>
  <c r="B60" i="36"/>
  <c r="B66" i="36"/>
  <c r="F66" i="36"/>
  <c r="J66" i="36"/>
  <c r="L66" i="36"/>
  <c r="L74" i="36" s="1"/>
  <c r="B67" i="36"/>
  <c r="F67" i="36"/>
  <c r="J67" i="36"/>
  <c r="L67" i="36"/>
  <c r="B68" i="36"/>
  <c r="F68" i="36"/>
  <c r="J68" i="36"/>
  <c r="L68" i="36"/>
  <c r="B69" i="36"/>
  <c r="F69" i="36"/>
  <c r="J69" i="36"/>
  <c r="L69" i="36"/>
  <c r="B70" i="36"/>
  <c r="F70" i="36"/>
  <c r="J70" i="36"/>
  <c r="L70" i="36"/>
  <c r="B71" i="36"/>
  <c r="F71" i="36"/>
  <c r="J71" i="36"/>
  <c r="L71" i="36"/>
  <c r="B72" i="36"/>
  <c r="F72" i="36"/>
  <c r="J72" i="36"/>
  <c r="L72" i="36"/>
  <c r="B73" i="36"/>
  <c r="F73" i="36"/>
  <c r="J73" i="36"/>
  <c r="L73" i="36"/>
  <c r="B78" i="36"/>
  <c r="F78" i="36"/>
  <c r="J78" i="36"/>
  <c r="L78" i="36"/>
  <c r="B79" i="36"/>
  <c r="F79" i="36"/>
  <c r="F80" i="36" s="1"/>
  <c r="J79" i="36"/>
  <c r="L79" i="36"/>
  <c r="L80" i="36" s="1"/>
  <c r="B81" i="36"/>
  <c r="B86" i="36"/>
  <c r="F86" i="36"/>
  <c r="J86" i="36"/>
  <c r="L86" i="36"/>
  <c r="B87" i="36"/>
  <c r="J87" i="36"/>
  <c r="L87" i="36"/>
  <c r="B92" i="36"/>
  <c r="F92" i="36"/>
  <c r="J92" i="36"/>
  <c r="B93" i="36"/>
  <c r="B94" i="36"/>
  <c r="F94" i="36"/>
  <c r="J94" i="36"/>
  <c r="B95" i="36"/>
  <c r="F95" i="36"/>
  <c r="J95" i="36"/>
  <c r="B96" i="36"/>
  <c r="B97" i="36"/>
  <c r="F97" i="36"/>
  <c r="J97" i="36"/>
  <c r="L97" i="36"/>
  <c r="L98" i="36" s="1"/>
  <c r="L117" i="36" s="1"/>
  <c r="B102" i="36"/>
  <c r="F102" i="36"/>
  <c r="J102" i="36"/>
  <c r="L102" i="36"/>
  <c r="L108" i="36"/>
  <c r="B103" i="36"/>
  <c r="F103" i="36"/>
  <c r="J103" i="36"/>
  <c r="L103" i="36"/>
  <c r="B104" i="36"/>
  <c r="F104" i="36"/>
  <c r="J104" i="36"/>
  <c r="L104" i="36"/>
  <c r="B105" i="36"/>
  <c r="F105" i="36"/>
  <c r="J105" i="36"/>
  <c r="L105" i="36"/>
  <c r="B106" i="36"/>
  <c r="F106" i="36"/>
  <c r="J106" i="36"/>
  <c r="L106" i="36"/>
  <c r="B107" i="36"/>
  <c r="F107" i="36"/>
  <c r="J107" i="36"/>
  <c r="L107" i="36"/>
  <c r="B109" i="36"/>
  <c r="B114" i="36"/>
  <c r="B115" i="36"/>
  <c r="B116" i="36"/>
  <c r="B117" i="36"/>
  <c r="L127" i="36"/>
  <c r="L126" i="36"/>
  <c r="L125" i="36" s="1"/>
  <c r="L119" i="36"/>
  <c r="J127" i="36"/>
  <c r="J126" i="36"/>
  <c r="J125" i="36" s="1"/>
  <c r="J104" i="8"/>
  <c r="L103" i="8"/>
  <c r="L102" i="8"/>
  <c r="L101" i="8"/>
  <c r="L104" i="8" s="1"/>
  <c r="J96" i="8"/>
  <c r="L95" i="8"/>
  <c r="L96" i="8" s="1"/>
  <c r="L94" i="8"/>
  <c r="L93" i="8"/>
  <c r="J119" i="36"/>
  <c r="F79" i="39"/>
  <c r="F79" i="40"/>
  <c r="H79" i="40" s="1"/>
  <c r="L79" i="40" s="1"/>
  <c r="B79" i="39"/>
  <c r="B79" i="40"/>
  <c r="C93" i="8"/>
  <c r="D70" i="9"/>
  <c r="F15" i="32"/>
  <c r="G15" i="32" s="1"/>
  <c r="F128" i="40"/>
  <c r="F124" i="40"/>
  <c r="F128" i="39"/>
  <c r="F124" i="39"/>
  <c r="G25" i="38"/>
  <c r="F50" i="40"/>
  <c r="G50" i="40"/>
  <c r="M50" i="39"/>
  <c r="G26" i="38"/>
  <c r="G27" i="38"/>
  <c r="G16" i="38"/>
  <c r="G15" i="38"/>
  <c r="G14" i="38"/>
  <c r="G13" i="38"/>
  <c r="F20" i="32"/>
  <c r="G20" i="32" s="1"/>
  <c r="F19" i="32"/>
  <c r="G19" i="32"/>
  <c r="F18" i="32"/>
  <c r="G18" i="32" s="1"/>
  <c r="F17" i="32"/>
  <c r="G17" i="32"/>
  <c r="F16" i="32"/>
  <c r="G16" i="32" s="1"/>
  <c r="B10" i="10"/>
  <c r="B27" i="10"/>
  <c r="B38" i="40"/>
  <c r="F26" i="40"/>
  <c r="F25" i="40"/>
  <c r="G31" i="40"/>
  <c r="G19" i="40"/>
  <c r="F19" i="40"/>
  <c r="F127" i="40"/>
  <c r="H127" i="40" s="1"/>
  <c r="F126" i="40"/>
  <c r="H126" i="40" s="1"/>
  <c r="L126" i="40" s="1"/>
  <c r="F119" i="40"/>
  <c r="B118" i="40"/>
  <c r="B117" i="40"/>
  <c r="B116" i="40"/>
  <c r="B115" i="40"/>
  <c r="B114" i="40"/>
  <c r="B109" i="40"/>
  <c r="F107" i="40"/>
  <c r="H107" i="40" s="1"/>
  <c r="L107" i="40" s="1"/>
  <c r="B107" i="40"/>
  <c r="F106" i="40"/>
  <c r="B106" i="40"/>
  <c r="F105" i="40"/>
  <c r="H105" i="40" s="1"/>
  <c r="L105" i="40" s="1"/>
  <c r="B105" i="40"/>
  <c r="F104" i="40"/>
  <c r="H104" i="40" s="1"/>
  <c r="L104" i="40" s="1"/>
  <c r="B104" i="40"/>
  <c r="F103" i="40"/>
  <c r="H103" i="40" s="1"/>
  <c r="L103" i="40" s="1"/>
  <c r="B103" i="40"/>
  <c r="F102" i="40"/>
  <c r="H102" i="40" s="1"/>
  <c r="B102" i="40"/>
  <c r="B97" i="40"/>
  <c r="B96" i="40"/>
  <c r="F95" i="40"/>
  <c r="B95" i="40"/>
  <c r="B94" i="40"/>
  <c r="B93" i="40"/>
  <c r="F92" i="40"/>
  <c r="B92" i="40"/>
  <c r="B87" i="40"/>
  <c r="F86" i="40"/>
  <c r="B86" i="40"/>
  <c r="B81" i="40"/>
  <c r="F78" i="40"/>
  <c r="F80" i="40"/>
  <c r="B78" i="40"/>
  <c r="F73" i="40"/>
  <c r="B73" i="40"/>
  <c r="B65" i="10" s="1"/>
  <c r="F72" i="40"/>
  <c r="H72" i="40" s="1"/>
  <c r="L72" i="40" s="1"/>
  <c r="B72" i="40"/>
  <c r="F71" i="40"/>
  <c r="H71" i="40" s="1"/>
  <c r="L71" i="40" s="1"/>
  <c r="B71" i="40"/>
  <c r="F70" i="40"/>
  <c r="H70" i="40" s="1"/>
  <c r="L70" i="40" s="1"/>
  <c r="B70" i="40"/>
  <c r="F69" i="40"/>
  <c r="B69" i="40"/>
  <c r="F68" i="40"/>
  <c r="H68" i="40" s="1"/>
  <c r="B68" i="40"/>
  <c r="F67" i="40"/>
  <c r="H67" i="40" s="1"/>
  <c r="L67" i="40" s="1"/>
  <c r="B67" i="40"/>
  <c r="F66" i="40"/>
  <c r="H66" i="40" s="1"/>
  <c r="L66" i="40" s="1"/>
  <c r="B66" i="40"/>
  <c r="B60" i="40"/>
  <c r="B59" i="40"/>
  <c r="B58" i="40"/>
  <c r="F52" i="40"/>
  <c r="G52" i="40"/>
  <c r="I52" i="40" s="1"/>
  <c r="M52" i="40" s="1"/>
  <c r="B52" i="40"/>
  <c r="F51" i="40"/>
  <c r="B51" i="40"/>
  <c r="B50" i="40"/>
  <c r="F49" i="40"/>
  <c r="B49" i="40"/>
  <c r="F48" i="40"/>
  <c r="G48" i="40"/>
  <c r="B48" i="40"/>
  <c r="F47" i="40"/>
  <c r="G47" i="40"/>
  <c r="B47" i="40"/>
  <c r="F46" i="40"/>
  <c r="G46" i="40" s="1"/>
  <c r="I46" i="40" s="1"/>
  <c r="B46" i="40"/>
  <c r="F45" i="40"/>
  <c r="B44" i="40"/>
  <c r="F35" i="40"/>
  <c r="F38" i="40"/>
  <c r="F33" i="40"/>
  <c r="B33" i="40"/>
  <c r="F32" i="40"/>
  <c r="B32" i="40"/>
  <c r="F27" i="40"/>
  <c r="F24" i="40"/>
  <c r="E19" i="40"/>
  <c r="F16" i="40"/>
  <c r="F15" i="40"/>
  <c r="F14" i="40"/>
  <c r="F13" i="40"/>
  <c r="F12" i="40"/>
  <c r="A8" i="40"/>
  <c r="A7" i="40"/>
  <c r="A5" i="40"/>
  <c r="B46" i="39"/>
  <c r="B44" i="39"/>
  <c r="B9" i="10"/>
  <c r="B26" i="10"/>
  <c r="C9" i="10"/>
  <c r="B38" i="39"/>
  <c r="F26" i="39"/>
  <c r="F25" i="39"/>
  <c r="G31" i="39"/>
  <c r="G38" i="39" s="1"/>
  <c r="F19" i="39"/>
  <c r="F127" i="39"/>
  <c r="F126" i="39"/>
  <c r="F125" i="39"/>
  <c r="F119" i="39"/>
  <c r="B118" i="39"/>
  <c r="B117" i="39"/>
  <c r="B116" i="39"/>
  <c r="B115" i="39"/>
  <c r="B114" i="39"/>
  <c r="B109" i="39"/>
  <c r="F107" i="39"/>
  <c r="B107" i="39"/>
  <c r="F106" i="39"/>
  <c r="B106" i="39"/>
  <c r="F105" i="39"/>
  <c r="B105" i="39"/>
  <c r="F104" i="39"/>
  <c r="B104" i="39"/>
  <c r="F103" i="39"/>
  <c r="B103" i="39"/>
  <c r="F102" i="39"/>
  <c r="F108" i="39" s="1"/>
  <c r="B102" i="39"/>
  <c r="B97" i="39"/>
  <c r="B96" i="39"/>
  <c r="F95" i="39"/>
  <c r="B95" i="39"/>
  <c r="B94" i="39"/>
  <c r="B93" i="39"/>
  <c r="F92" i="39"/>
  <c r="B92" i="39"/>
  <c r="B87" i="39"/>
  <c r="F86" i="39"/>
  <c r="B86" i="39"/>
  <c r="B81" i="39"/>
  <c r="F78" i="39"/>
  <c r="F80" i="39" s="1"/>
  <c r="B78" i="39"/>
  <c r="F73" i="39"/>
  <c r="B73" i="39"/>
  <c r="B64" i="10" s="1"/>
  <c r="F72" i="39"/>
  <c r="B72" i="39"/>
  <c r="F71" i="39"/>
  <c r="B71" i="39"/>
  <c r="F70" i="39"/>
  <c r="B70" i="39"/>
  <c r="F69" i="39"/>
  <c r="B69" i="39"/>
  <c r="F68" i="39"/>
  <c r="B68" i="39"/>
  <c r="F67" i="39"/>
  <c r="B67" i="39"/>
  <c r="F66" i="39"/>
  <c r="F74" i="39" s="1"/>
  <c r="F81" i="39" s="1"/>
  <c r="F82" i="39" s="1"/>
  <c r="F115" i="39" s="1"/>
  <c r="B66" i="39"/>
  <c r="B60" i="39"/>
  <c r="B59" i="39"/>
  <c r="B58" i="39"/>
  <c r="B52" i="39"/>
  <c r="M51" i="39"/>
  <c r="B51" i="39"/>
  <c r="B50" i="39"/>
  <c r="B49" i="39"/>
  <c r="G48" i="39"/>
  <c r="B48" i="39"/>
  <c r="G47" i="39"/>
  <c r="B47" i="39"/>
  <c r="F45" i="39"/>
  <c r="B35" i="39"/>
  <c r="F38" i="39"/>
  <c r="F33" i="39"/>
  <c r="B33" i="39"/>
  <c r="F27" i="39"/>
  <c r="F24" i="39"/>
  <c r="E19" i="39"/>
  <c r="F16" i="39"/>
  <c r="F15" i="39"/>
  <c r="F14" i="39"/>
  <c r="F13" i="39"/>
  <c r="F12" i="39"/>
  <c r="A8" i="39"/>
  <c r="A7" i="39"/>
  <c r="A5" i="39"/>
  <c r="B18" i="10"/>
  <c r="B19" i="10"/>
  <c r="B17" i="10"/>
  <c r="B8" i="10"/>
  <c r="B25" i="10" s="1"/>
  <c r="E9" i="10"/>
  <c r="F18" i="10"/>
  <c r="F20" i="10" s="1"/>
  <c r="E10" i="10"/>
  <c r="E8" i="10"/>
  <c r="F126" i="36"/>
  <c r="F27" i="38"/>
  <c r="H27" i="38" s="1"/>
  <c r="F26" i="38"/>
  <c r="F25" i="38"/>
  <c r="F14" i="38"/>
  <c r="H14" i="38" s="1"/>
  <c r="F15" i="38"/>
  <c r="H15" i="38"/>
  <c r="F16" i="38"/>
  <c r="F13" i="38"/>
  <c r="A3" i="38"/>
  <c r="A2" i="38"/>
  <c r="B66" i="8"/>
  <c r="O60" i="8"/>
  <c r="L74" i="8"/>
  <c r="K19" i="39" s="1"/>
  <c r="L75" i="8"/>
  <c r="E28" i="9"/>
  <c r="E29" i="9" s="1"/>
  <c r="L73" i="8"/>
  <c r="G19" i="36" s="1"/>
  <c r="F128" i="36"/>
  <c r="F124" i="36"/>
  <c r="D27" i="9"/>
  <c r="D28" i="9"/>
  <c r="B27" i="9"/>
  <c r="B28" i="9"/>
  <c r="J76" i="8"/>
  <c r="C7" i="8" s="1"/>
  <c r="F127" i="36"/>
  <c r="F119" i="36"/>
  <c r="B118" i="36"/>
  <c r="A3" i="32"/>
  <c r="A2" i="32"/>
  <c r="D26" i="9"/>
  <c r="D29" i="9"/>
  <c r="B26" i="9"/>
  <c r="E33" i="8"/>
  <c r="F33" i="8" s="1"/>
  <c r="A2" i="31"/>
  <c r="A1" i="31"/>
  <c r="C115" i="8"/>
  <c r="C116" i="8" s="1"/>
  <c r="C89" i="8"/>
  <c r="A1" i="10"/>
  <c r="A2" i="10"/>
  <c r="A1" i="9"/>
  <c r="A4" i="9"/>
  <c r="B11" i="9"/>
  <c r="F36" i="8"/>
  <c r="C76" i="8"/>
  <c r="C77" i="8" s="1"/>
  <c r="E26" i="9"/>
  <c r="F97" i="39"/>
  <c r="F97" i="40"/>
  <c r="C98" i="8"/>
  <c r="F94" i="40"/>
  <c r="H94" i="40" s="1"/>
  <c r="F94" i="39"/>
  <c r="E105" i="8"/>
  <c r="F109" i="39"/>
  <c r="L76" i="8"/>
  <c r="O63" i="8"/>
  <c r="O68" i="8"/>
  <c r="E27" i="9"/>
  <c r="G19" i="39"/>
  <c r="H26" i="38"/>
  <c r="H13" i="38"/>
  <c r="M52" i="36"/>
  <c r="G51" i="36"/>
  <c r="M51" i="36"/>
  <c r="J74" i="36"/>
  <c r="L114" i="36"/>
  <c r="G52" i="36"/>
  <c r="K51" i="36"/>
  <c r="F74" i="36"/>
  <c r="G33" i="39"/>
  <c r="I33" i="39"/>
  <c r="H98" i="39"/>
  <c r="H117" i="39"/>
  <c r="L117" i="39" s="1"/>
  <c r="H125" i="39"/>
  <c r="L125" i="39" s="1"/>
  <c r="M52" i="39"/>
  <c r="F125" i="40"/>
  <c r="H25" i="38"/>
  <c r="H39" i="38"/>
  <c r="H41" i="38"/>
  <c r="H51" i="38"/>
  <c r="H16" i="38"/>
  <c r="H17" i="38"/>
  <c r="H18" i="38" s="1"/>
  <c r="H19" i="38" s="1"/>
  <c r="H43" i="38"/>
  <c r="H44" i="38" s="1"/>
  <c r="H45" i="38" s="1"/>
  <c r="J88" i="36"/>
  <c r="J116" i="36" s="1"/>
  <c r="K33" i="36"/>
  <c r="K40" i="36" s="1"/>
  <c r="K81" i="36" s="1"/>
  <c r="H88" i="36"/>
  <c r="I33" i="36"/>
  <c r="I40" i="36" s="1"/>
  <c r="I133" i="36"/>
  <c r="L81" i="36"/>
  <c r="L82" i="36" s="1"/>
  <c r="L115" i="36" s="1"/>
  <c r="K49" i="36"/>
  <c r="G33" i="36"/>
  <c r="G40" i="36" s="1"/>
  <c r="G107" i="36" s="1"/>
  <c r="L88" i="36"/>
  <c r="L116" i="36" s="1"/>
  <c r="M50" i="36"/>
  <c r="K50" i="36"/>
  <c r="J80" i="36"/>
  <c r="J81" i="36" s="1"/>
  <c r="J108" i="36"/>
  <c r="F125" i="36"/>
  <c r="G95" i="36"/>
  <c r="F114" i="36"/>
  <c r="J114" i="36"/>
  <c r="H54" i="38"/>
  <c r="H55" i="38" s="1"/>
  <c r="H56" i="38" s="1"/>
  <c r="I59" i="36"/>
  <c r="G71" i="36"/>
  <c r="G70" i="36"/>
  <c r="G133" i="36"/>
  <c r="I103" i="36"/>
  <c r="I79" i="36"/>
  <c r="I71" i="36"/>
  <c r="I96" i="36"/>
  <c r="I67" i="36"/>
  <c r="I70" i="36"/>
  <c r="I73" i="36"/>
  <c r="G72" i="36"/>
  <c r="J82" i="36"/>
  <c r="J115" i="36" s="1"/>
  <c r="M33" i="36"/>
  <c r="M40" i="36" s="1"/>
  <c r="M81" i="36" s="1"/>
  <c r="M78" i="36"/>
  <c r="F108" i="40"/>
  <c r="G49" i="40"/>
  <c r="G51" i="40"/>
  <c r="G33" i="40"/>
  <c r="F74" i="40"/>
  <c r="F81" i="40" s="1"/>
  <c r="F82" i="40" s="1"/>
  <c r="F115" i="40" s="1"/>
  <c r="K33" i="39"/>
  <c r="J108" i="39"/>
  <c r="J110" i="39" s="1"/>
  <c r="J118" i="39"/>
  <c r="J88" i="39"/>
  <c r="J116" i="39" s="1"/>
  <c r="I40" i="39"/>
  <c r="K86" i="39" s="1"/>
  <c r="I87" i="39"/>
  <c r="I94" i="39"/>
  <c r="I69" i="39"/>
  <c r="I93" i="39"/>
  <c r="I105" i="39"/>
  <c r="I103" i="39"/>
  <c r="I79" i="39"/>
  <c r="I107" i="39"/>
  <c r="I106" i="39"/>
  <c r="I95" i="39"/>
  <c r="I73" i="39"/>
  <c r="F46" i="10"/>
  <c r="F63" i="10"/>
  <c r="H63" i="10"/>
  <c r="G35" i="40"/>
  <c r="K38" i="40"/>
  <c r="K40" i="40"/>
  <c r="K133" i="40" s="1"/>
  <c r="M45" i="40"/>
  <c r="J74" i="40"/>
  <c r="J80" i="40"/>
  <c r="J88" i="40"/>
  <c r="J116" i="40"/>
  <c r="M33" i="40"/>
  <c r="K54" i="39"/>
  <c r="K134" i="39"/>
  <c r="K105" i="40"/>
  <c r="K96" i="40"/>
  <c r="K73" i="40"/>
  <c r="K72" i="40"/>
  <c r="J114" i="40"/>
  <c r="J81" i="40"/>
  <c r="J82" i="40"/>
  <c r="J115" i="40" s="1"/>
  <c r="A32" i="9"/>
  <c r="A34" i="9"/>
  <c r="G40" i="40" l="1"/>
  <c r="K71" i="40"/>
  <c r="K68" i="40"/>
  <c r="K104" i="40"/>
  <c r="K93" i="40"/>
  <c r="K95" i="40"/>
  <c r="I86" i="40"/>
  <c r="M35" i="40"/>
  <c r="F114" i="40"/>
  <c r="M133" i="36"/>
  <c r="K68" i="36"/>
  <c r="K95" i="36"/>
  <c r="L94" i="40"/>
  <c r="H98" i="40"/>
  <c r="H117" i="40" s="1"/>
  <c r="L117" i="40" s="1"/>
  <c r="I38" i="40"/>
  <c r="G38" i="40"/>
  <c r="K81" i="40"/>
  <c r="K78" i="40"/>
  <c r="K70" i="40"/>
  <c r="K79" i="40"/>
  <c r="K107" i="40"/>
  <c r="K97" i="40"/>
  <c r="K102" i="40"/>
  <c r="K94" i="40"/>
  <c r="M60" i="39"/>
  <c r="M60" i="36"/>
  <c r="M60" i="40"/>
  <c r="M59" i="40"/>
  <c r="M59" i="36"/>
  <c r="M59" i="39"/>
  <c r="L104" i="39"/>
  <c r="H108" i="39"/>
  <c r="H110" i="39" s="1"/>
  <c r="H118" i="39" s="1"/>
  <c r="L118" i="39" s="1"/>
  <c r="I104" i="39"/>
  <c r="I109" i="39"/>
  <c r="L109" i="39"/>
  <c r="L69" i="40"/>
  <c r="M33" i="39"/>
  <c r="M38" i="39" s="1"/>
  <c r="M45" i="39"/>
  <c r="M54" i="39" s="1"/>
  <c r="M134" i="39" s="1"/>
  <c r="K66" i="36"/>
  <c r="M86" i="36"/>
  <c r="M87" i="36"/>
  <c r="K106" i="36"/>
  <c r="K72" i="36"/>
  <c r="K86" i="36"/>
  <c r="K87" i="36"/>
  <c r="K70" i="36"/>
  <c r="K67" i="36"/>
  <c r="K94" i="36"/>
  <c r="K69" i="36"/>
  <c r="K79" i="36"/>
  <c r="K103" i="36"/>
  <c r="K133" i="36"/>
  <c r="K104" i="36"/>
  <c r="K105" i="36"/>
  <c r="K102" i="36"/>
  <c r="K108" i="36" s="1"/>
  <c r="K78" i="36"/>
  <c r="K80" i="36" s="1"/>
  <c r="K82" i="36" s="1"/>
  <c r="K115" i="36" s="1"/>
  <c r="K92" i="36"/>
  <c r="K97" i="36"/>
  <c r="K71" i="36"/>
  <c r="K107" i="36"/>
  <c r="K73" i="36"/>
  <c r="K66" i="40"/>
  <c r="K69" i="40"/>
  <c r="K67" i="40"/>
  <c r="K92" i="40"/>
  <c r="K98" i="40" s="1"/>
  <c r="K117" i="40" s="1"/>
  <c r="K103" i="40"/>
  <c r="K106" i="40"/>
  <c r="M72" i="36"/>
  <c r="M66" i="36"/>
  <c r="M73" i="36"/>
  <c r="M70" i="36"/>
  <c r="M94" i="36"/>
  <c r="M68" i="36"/>
  <c r="M104" i="36"/>
  <c r="M106" i="36"/>
  <c r="M103" i="36"/>
  <c r="M97" i="36"/>
  <c r="M79" i="36"/>
  <c r="M80" i="36" s="1"/>
  <c r="M82" i="36" s="1"/>
  <c r="M115" i="36" s="1"/>
  <c r="M92" i="36"/>
  <c r="M67" i="36"/>
  <c r="M71" i="36"/>
  <c r="M95" i="36"/>
  <c r="M105" i="36"/>
  <c r="M102" i="36"/>
  <c r="M96" i="36"/>
  <c r="M69" i="36"/>
  <c r="M107" i="36"/>
  <c r="M93" i="36"/>
  <c r="H28" i="38"/>
  <c r="H29" i="38" s="1"/>
  <c r="H30" i="38" s="1"/>
  <c r="L74" i="40"/>
  <c r="F81" i="36"/>
  <c r="G81" i="36" s="1"/>
  <c r="F82" i="36"/>
  <c r="F115" i="36" s="1"/>
  <c r="L79" i="39"/>
  <c r="H80" i="39"/>
  <c r="I67" i="39"/>
  <c r="I97" i="39"/>
  <c r="I86" i="39"/>
  <c r="I88" i="39" s="1"/>
  <c r="I116" i="39" s="1"/>
  <c r="I66" i="39"/>
  <c r="I70" i="39"/>
  <c r="I78" i="39"/>
  <c r="I80" i="39" s="1"/>
  <c r="G105" i="36"/>
  <c r="I72" i="36"/>
  <c r="I66" i="36"/>
  <c r="I94" i="36"/>
  <c r="I107" i="36"/>
  <c r="G86" i="36"/>
  <c r="K59" i="39"/>
  <c r="K59" i="40"/>
  <c r="F54" i="8"/>
  <c r="L68" i="39"/>
  <c r="H74" i="39"/>
  <c r="F114" i="39"/>
  <c r="I68" i="39"/>
  <c r="I72" i="39"/>
  <c r="I102" i="39"/>
  <c r="I108" i="39" s="1"/>
  <c r="I96" i="39"/>
  <c r="I92" i="39"/>
  <c r="I98" i="39" s="1"/>
  <c r="I117" i="39" s="1"/>
  <c r="I133" i="39"/>
  <c r="I71" i="39"/>
  <c r="K51" i="40"/>
  <c r="I51" i="40"/>
  <c r="M51" i="40" s="1"/>
  <c r="G69" i="36"/>
  <c r="I105" i="36"/>
  <c r="I87" i="36"/>
  <c r="I68" i="36"/>
  <c r="H45" i="40"/>
  <c r="L102" i="40"/>
  <c r="H108" i="40"/>
  <c r="J74" i="39"/>
  <c r="K49" i="40"/>
  <c r="I49" i="40"/>
  <c r="M49" i="40" s="1"/>
  <c r="M54" i="40" s="1"/>
  <c r="M134" i="40" s="1"/>
  <c r="G73" i="36"/>
  <c r="G102" i="36"/>
  <c r="I97" i="36"/>
  <c r="I69" i="36"/>
  <c r="I106" i="36"/>
  <c r="I81" i="36"/>
  <c r="I109" i="36"/>
  <c r="I95" i="36"/>
  <c r="G79" i="36"/>
  <c r="G104" i="36"/>
  <c r="G67" i="36"/>
  <c r="G92" i="36"/>
  <c r="G97" i="36"/>
  <c r="G66" i="36"/>
  <c r="G74" i="36" s="1"/>
  <c r="G114" i="36" s="1"/>
  <c r="G106" i="36"/>
  <c r="G78" i="36"/>
  <c r="G80" i="36" s="1"/>
  <c r="G82" i="36" s="1"/>
  <c r="G115" i="36" s="1"/>
  <c r="I93" i="36"/>
  <c r="I104" i="36"/>
  <c r="I102" i="36"/>
  <c r="I78" i="36"/>
  <c r="I80" i="36" s="1"/>
  <c r="I82" i="36" s="1"/>
  <c r="I115" i="36" s="1"/>
  <c r="I92" i="36"/>
  <c r="I86" i="36"/>
  <c r="I88" i="36" s="1"/>
  <c r="I116" i="36" s="1"/>
  <c r="G68" i="36"/>
  <c r="G94" i="36"/>
  <c r="G103" i="36"/>
  <c r="H74" i="40"/>
  <c r="G21" i="32"/>
  <c r="G51" i="32"/>
  <c r="C94" i="8"/>
  <c r="C95" i="8" s="1"/>
  <c r="C102" i="8"/>
  <c r="C105" i="8"/>
  <c r="F44" i="36"/>
  <c r="F44" i="39"/>
  <c r="H44" i="40"/>
  <c r="F44" i="40"/>
  <c r="G44" i="40" s="1"/>
  <c r="G45" i="40" s="1"/>
  <c r="K50" i="40"/>
  <c r="I50" i="40"/>
  <c r="M50" i="40" s="1"/>
  <c r="H80" i="40"/>
  <c r="L88" i="39"/>
  <c r="K52" i="40"/>
  <c r="K38" i="39"/>
  <c r="K40" i="39" s="1"/>
  <c r="H87" i="40"/>
  <c r="C99" i="8"/>
  <c r="F87" i="36"/>
  <c r="F87" i="39"/>
  <c r="F87" i="40"/>
  <c r="F88" i="40" s="1"/>
  <c r="F116" i="40" s="1"/>
  <c r="J109" i="36"/>
  <c r="F109" i="40"/>
  <c r="J109" i="40"/>
  <c r="K109" i="40" s="1"/>
  <c r="L109" i="36"/>
  <c r="M109" i="36" s="1"/>
  <c r="C117" i="8"/>
  <c r="F110" i="39"/>
  <c r="F118" i="39" s="1"/>
  <c r="F109" i="36"/>
  <c r="G109" i="36" s="1"/>
  <c r="F108" i="36"/>
  <c r="G36" i="32"/>
  <c r="G53" i="32" s="1"/>
  <c r="L98" i="39"/>
  <c r="L108" i="39"/>
  <c r="L110" i="39" s="1"/>
  <c r="J19" i="36"/>
  <c r="I19" i="39"/>
  <c r="G40" i="39"/>
  <c r="I35" i="40"/>
  <c r="I40" i="40" s="1"/>
  <c r="K19" i="40"/>
  <c r="K133" i="39" l="1"/>
  <c r="K106" i="39"/>
  <c r="K102" i="39"/>
  <c r="K87" i="39"/>
  <c r="K88" i="39" s="1"/>
  <c r="K116" i="39" s="1"/>
  <c r="K70" i="39"/>
  <c r="K79" i="39"/>
  <c r="K103" i="39"/>
  <c r="K66" i="39"/>
  <c r="K105" i="39"/>
  <c r="K92" i="39"/>
  <c r="K96" i="39"/>
  <c r="K104" i="39"/>
  <c r="K72" i="39"/>
  <c r="K71" i="39"/>
  <c r="K107" i="39"/>
  <c r="K68" i="39"/>
  <c r="K67" i="39"/>
  <c r="K78" i="39"/>
  <c r="K80" i="39" s="1"/>
  <c r="K94" i="39"/>
  <c r="K109" i="39"/>
  <c r="K93" i="39"/>
  <c r="K73" i="39"/>
  <c r="K95" i="39"/>
  <c r="K69" i="39"/>
  <c r="K97" i="39"/>
  <c r="L80" i="39"/>
  <c r="K74" i="36"/>
  <c r="K114" i="36" s="1"/>
  <c r="G73" i="40"/>
  <c r="I72" i="40"/>
  <c r="G70" i="40"/>
  <c r="G67" i="40"/>
  <c r="G78" i="40"/>
  <c r="G66" i="40"/>
  <c r="G102" i="40"/>
  <c r="G133" i="40"/>
  <c r="I68" i="40"/>
  <c r="G92" i="40"/>
  <c r="G103" i="40"/>
  <c r="I70" i="40"/>
  <c r="I71" i="40"/>
  <c r="G95" i="40"/>
  <c r="G94" i="40"/>
  <c r="G104" i="40"/>
  <c r="G69" i="40"/>
  <c r="G81" i="40"/>
  <c r="I67" i="40"/>
  <c r="G68" i="40"/>
  <c r="G106" i="40"/>
  <c r="I73" i="40"/>
  <c r="G97" i="40"/>
  <c r="G79" i="40"/>
  <c r="G71" i="40"/>
  <c r="G86" i="40"/>
  <c r="G105" i="40"/>
  <c r="I66" i="40"/>
  <c r="G72" i="40"/>
  <c r="G107" i="40"/>
  <c r="L74" i="39"/>
  <c r="H109" i="40"/>
  <c r="G109" i="40"/>
  <c r="F88" i="36"/>
  <c r="F116" i="36" s="1"/>
  <c r="G87" i="36"/>
  <c r="G44" i="39"/>
  <c r="I44" i="39"/>
  <c r="I108" i="36"/>
  <c r="I110" i="36" s="1"/>
  <c r="I118" i="36" s="1"/>
  <c r="K54" i="40"/>
  <c r="K134" i="40" s="1"/>
  <c r="L108" i="40"/>
  <c r="J110" i="40"/>
  <c r="J118" i="40" s="1"/>
  <c r="J120" i="40" s="1"/>
  <c r="I59" i="39"/>
  <c r="G59" i="39"/>
  <c r="G59" i="40"/>
  <c r="I59" i="40" s="1"/>
  <c r="K59" i="36"/>
  <c r="G59" i="36"/>
  <c r="K60" i="39"/>
  <c r="K60" i="40"/>
  <c r="I60" i="36"/>
  <c r="F55" i="8"/>
  <c r="M74" i="36"/>
  <c r="M114" i="36" s="1"/>
  <c r="K74" i="40"/>
  <c r="K114" i="40" s="1"/>
  <c r="M40" i="39"/>
  <c r="I69" i="40"/>
  <c r="L98" i="40"/>
  <c r="G104" i="39"/>
  <c r="G92" i="39"/>
  <c r="G72" i="39"/>
  <c r="G97" i="39"/>
  <c r="G73" i="39"/>
  <c r="G133" i="39"/>
  <c r="G105" i="39"/>
  <c r="G71" i="39"/>
  <c r="G78" i="39"/>
  <c r="G69" i="39"/>
  <c r="G103" i="39"/>
  <c r="G66" i="39"/>
  <c r="G74" i="39" s="1"/>
  <c r="G114" i="39" s="1"/>
  <c r="G94" i="39"/>
  <c r="G107" i="39"/>
  <c r="G86" i="39"/>
  <c r="G88" i="39" s="1"/>
  <c r="G116" i="39" s="1"/>
  <c r="G79" i="39"/>
  <c r="G106" i="39"/>
  <c r="G70" i="39"/>
  <c r="G102" i="39"/>
  <c r="G108" i="39" s="1"/>
  <c r="G109" i="39"/>
  <c r="G81" i="39"/>
  <c r="G68" i="39"/>
  <c r="G67" i="39"/>
  <c r="G95" i="39"/>
  <c r="F88" i="39"/>
  <c r="F116" i="39" s="1"/>
  <c r="G87" i="39"/>
  <c r="F93" i="40"/>
  <c r="F93" i="36"/>
  <c r="C107" i="8"/>
  <c r="C118" i="8" s="1"/>
  <c r="D23" i="8" s="1"/>
  <c r="J93" i="36"/>
  <c r="F93" i="39"/>
  <c r="G37" i="32"/>
  <c r="G22" i="32"/>
  <c r="G23" i="32"/>
  <c r="G38" i="32"/>
  <c r="G52" i="32"/>
  <c r="H110" i="40"/>
  <c r="H118" i="40" s="1"/>
  <c r="L118" i="40" s="1"/>
  <c r="G88" i="36"/>
  <c r="G116" i="36" s="1"/>
  <c r="I74" i="39"/>
  <c r="I114" i="39" s="1"/>
  <c r="J110" i="36"/>
  <c r="J118" i="36" s="1"/>
  <c r="K109" i="36"/>
  <c r="K110" i="36" s="1"/>
  <c r="K118" i="36" s="1"/>
  <c r="G44" i="36"/>
  <c r="K44" i="36"/>
  <c r="M44" i="36"/>
  <c r="H114" i="40"/>
  <c r="H81" i="40"/>
  <c r="G108" i="36"/>
  <c r="G110" i="36" s="1"/>
  <c r="G118" i="36" s="1"/>
  <c r="J81" i="39"/>
  <c r="J114" i="39"/>
  <c r="I110" i="39"/>
  <c r="I118" i="39" s="1"/>
  <c r="M108" i="36"/>
  <c r="M110" i="36" s="1"/>
  <c r="M118" i="36" s="1"/>
  <c r="K108" i="40"/>
  <c r="K110" i="40" s="1"/>
  <c r="K118" i="40" s="1"/>
  <c r="K86" i="40"/>
  <c r="I95" i="40"/>
  <c r="I94" i="40"/>
  <c r="I93" i="40"/>
  <c r="I96" i="40"/>
  <c r="K87" i="40"/>
  <c r="I133" i="40"/>
  <c r="I92" i="40"/>
  <c r="I98" i="40" s="1"/>
  <c r="I117" i="40" s="1"/>
  <c r="I97" i="40"/>
  <c r="I107" i="40"/>
  <c r="I104" i="40"/>
  <c r="I105" i="40"/>
  <c r="I103" i="40"/>
  <c r="I79" i="40"/>
  <c r="I78" i="40"/>
  <c r="I80" i="40" s="1"/>
  <c r="I102" i="40"/>
  <c r="I108" i="40" s="1"/>
  <c r="I106" i="40"/>
  <c r="F110" i="36"/>
  <c r="F118" i="36" s="1"/>
  <c r="G87" i="40"/>
  <c r="H88" i="40"/>
  <c r="H116" i="40" s="1"/>
  <c r="L116" i="40" s="1"/>
  <c r="I87" i="40"/>
  <c r="I88" i="40" s="1"/>
  <c r="I116" i="40" s="1"/>
  <c r="L80" i="40"/>
  <c r="H82" i="40"/>
  <c r="H115" i="40" s="1"/>
  <c r="L115" i="40" s="1"/>
  <c r="I44" i="40"/>
  <c r="G54" i="40"/>
  <c r="G134" i="40" s="1"/>
  <c r="F96" i="36"/>
  <c r="G96" i="36" s="1"/>
  <c r="F96" i="40"/>
  <c r="G96" i="40" s="1"/>
  <c r="J96" i="36"/>
  <c r="K96" i="36" s="1"/>
  <c r="F96" i="39"/>
  <c r="G96" i="39" s="1"/>
  <c r="I98" i="36"/>
  <c r="I117" i="36" s="1"/>
  <c r="L110" i="36"/>
  <c r="L118" i="36" s="1"/>
  <c r="L120" i="36" s="1"/>
  <c r="I45" i="40"/>
  <c r="H81" i="39"/>
  <c r="H114" i="39"/>
  <c r="I74" i="36"/>
  <c r="I114" i="36" s="1"/>
  <c r="I120" i="36" s="1"/>
  <c r="I136" i="36" s="1"/>
  <c r="M98" i="36"/>
  <c r="M117" i="36" s="1"/>
  <c r="K88" i="36"/>
  <c r="K116" i="36" s="1"/>
  <c r="M88" i="36"/>
  <c r="M116" i="36" s="1"/>
  <c r="M109" i="39"/>
  <c r="M104" i="39"/>
  <c r="F110" i="40"/>
  <c r="F118" i="40" s="1"/>
  <c r="K80" i="40"/>
  <c r="K82" i="40" s="1"/>
  <c r="K115" i="40" s="1"/>
  <c r="M38" i="40"/>
  <c r="M40" i="40" s="1"/>
  <c r="M73" i="40" l="1"/>
  <c r="M79" i="40"/>
  <c r="M93" i="40"/>
  <c r="M78" i="40"/>
  <c r="M105" i="40"/>
  <c r="M71" i="40"/>
  <c r="M104" i="40"/>
  <c r="M86" i="40"/>
  <c r="M96" i="40"/>
  <c r="M97" i="40"/>
  <c r="M106" i="40"/>
  <c r="M72" i="40"/>
  <c r="M107" i="40"/>
  <c r="M70" i="40"/>
  <c r="M87" i="40"/>
  <c r="M68" i="40"/>
  <c r="M66" i="40"/>
  <c r="M67" i="40"/>
  <c r="M92" i="40"/>
  <c r="M133" i="40"/>
  <c r="M95" i="40"/>
  <c r="M103" i="40"/>
  <c r="M102" i="40"/>
  <c r="M108" i="40" s="1"/>
  <c r="M69" i="40"/>
  <c r="M94" i="40"/>
  <c r="I54" i="40"/>
  <c r="I134" i="40" s="1"/>
  <c r="L81" i="40"/>
  <c r="M81" i="40" s="1"/>
  <c r="I81" i="40"/>
  <c r="G45" i="36"/>
  <c r="G54" i="36" s="1"/>
  <c r="G134" i="36" s="1"/>
  <c r="M58" i="40"/>
  <c r="M61" i="40" s="1"/>
  <c r="M135" i="40" s="1"/>
  <c r="M58" i="39"/>
  <c r="M61" i="39" s="1"/>
  <c r="M135" i="39" s="1"/>
  <c r="K58" i="39"/>
  <c r="K61" i="39" s="1"/>
  <c r="K135" i="39" s="1"/>
  <c r="K58" i="40"/>
  <c r="K61" i="40" s="1"/>
  <c r="K135" i="40" s="1"/>
  <c r="I58" i="36"/>
  <c r="I61" i="36" s="1"/>
  <c r="I135" i="36" s="1"/>
  <c r="I137" i="36" s="1"/>
  <c r="F98" i="36"/>
  <c r="F117" i="36" s="1"/>
  <c r="F120" i="36" s="1"/>
  <c r="G93" i="36"/>
  <c r="G98" i="36" s="1"/>
  <c r="G117" i="36" s="1"/>
  <c r="G120" i="36" s="1"/>
  <c r="G136" i="36" s="1"/>
  <c r="M106" i="39"/>
  <c r="M71" i="39"/>
  <c r="M66" i="39"/>
  <c r="M78" i="39"/>
  <c r="M70" i="39"/>
  <c r="M97" i="39"/>
  <c r="M95" i="39"/>
  <c r="M105" i="39"/>
  <c r="M103" i="39"/>
  <c r="M69" i="39"/>
  <c r="M107" i="39"/>
  <c r="M94" i="39"/>
  <c r="M87" i="39"/>
  <c r="M133" i="39"/>
  <c r="M92" i="39"/>
  <c r="M102" i="39"/>
  <c r="M72" i="39"/>
  <c r="M93" i="39"/>
  <c r="M73" i="39"/>
  <c r="M86" i="39"/>
  <c r="M67" i="39"/>
  <c r="M96" i="39"/>
  <c r="G45" i="39"/>
  <c r="G54" i="39"/>
  <c r="G134" i="39" s="1"/>
  <c r="L109" i="40"/>
  <c r="M109" i="40" s="1"/>
  <c r="I109" i="40"/>
  <c r="I74" i="40"/>
  <c r="I114" i="40" s="1"/>
  <c r="M68" i="39"/>
  <c r="K74" i="39"/>
  <c r="K114" i="39" s="1"/>
  <c r="I110" i="40"/>
  <c r="I118" i="40" s="1"/>
  <c r="I82" i="40"/>
  <c r="I115" i="40" s="1"/>
  <c r="J82" i="39"/>
  <c r="J115" i="39" s="1"/>
  <c r="J120" i="39" s="1"/>
  <c r="K81" i="39"/>
  <c r="L114" i="40"/>
  <c r="L120" i="40" s="1"/>
  <c r="H120" i="40"/>
  <c r="G93" i="39"/>
  <c r="F98" i="39"/>
  <c r="F117" i="39" s="1"/>
  <c r="F120" i="39" s="1"/>
  <c r="F98" i="40"/>
  <c r="F117" i="40" s="1"/>
  <c r="F120" i="40" s="1"/>
  <c r="G93" i="40"/>
  <c r="G110" i="39"/>
  <c r="G118" i="39" s="1"/>
  <c r="G108" i="40"/>
  <c r="G110" i="40" s="1"/>
  <c r="G118" i="40" s="1"/>
  <c r="K108" i="39"/>
  <c r="K110" i="39" s="1"/>
  <c r="K118" i="39" s="1"/>
  <c r="L114" i="39"/>
  <c r="L120" i="39" s="1"/>
  <c r="L81" i="39"/>
  <c r="M81" i="39" s="1"/>
  <c r="I81" i="39"/>
  <c r="I82" i="39" s="1"/>
  <c r="I115" i="39" s="1"/>
  <c r="I120" i="39" s="1"/>
  <c r="I136" i="39" s="1"/>
  <c r="L82" i="40"/>
  <c r="M80" i="40"/>
  <c r="M82" i="40" s="1"/>
  <c r="M115" i="40" s="1"/>
  <c r="M45" i="36"/>
  <c r="M54" i="36" s="1"/>
  <c r="M134" i="36" s="1"/>
  <c r="M137" i="36" s="1"/>
  <c r="J98" i="36"/>
  <c r="J117" i="36" s="1"/>
  <c r="J120" i="36" s="1"/>
  <c r="K93" i="36"/>
  <c r="K98" i="36" s="1"/>
  <c r="K117" i="36" s="1"/>
  <c r="K120" i="36" s="1"/>
  <c r="K136" i="36" s="1"/>
  <c r="G98" i="39"/>
  <c r="G117" i="39" s="1"/>
  <c r="M120" i="36"/>
  <c r="M136" i="36" s="1"/>
  <c r="G88" i="40"/>
  <c r="G116" i="40" s="1"/>
  <c r="G98" i="40"/>
  <c r="G117" i="40" s="1"/>
  <c r="G74" i="40"/>
  <c r="G114" i="40" s="1"/>
  <c r="H82" i="39"/>
  <c r="H115" i="39" s="1"/>
  <c r="L115" i="39" s="1"/>
  <c r="K82" i="39"/>
  <c r="K115" i="39" s="1"/>
  <c r="K98" i="39"/>
  <c r="K117" i="39" s="1"/>
  <c r="K88" i="40"/>
  <c r="K116" i="40" s="1"/>
  <c r="K120" i="40" s="1"/>
  <c r="K136" i="40" s="1"/>
  <c r="K137" i="40" s="1"/>
  <c r="K45" i="36"/>
  <c r="K54" i="36" s="1"/>
  <c r="K134" i="36" s="1"/>
  <c r="M58" i="36"/>
  <c r="M61" i="36" s="1"/>
  <c r="M135" i="36" s="1"/>
  <c r="F53" i="8"/>
  <c r="G80" i="39"/>
  <c r="G82" i="39" s="1"/>
  <c r="G115" i="39" s="1"/>
  <c r="G120" i="39" s="1"/>
  <c r="G136" i="39" s="1"/>
  <c r="I60" i="39"/>
  <c r="G60" i="39"/>
  <c r="G60" i="36"/>
  <c r="K60" i="36"/>
  <c r="G60" i="40"/>
  <c r="I60" i="40" s="1"/>
  <c r="M79" i="39"/>
  <c r="L110" i="40"/>
  <c r="I45" i="39"/>
  <c r="I54" i="39"/>
  <c r="I134" i="39" s="1"/>
  <c r="G80" i="40"/>
  <c r="G82" i="40" s="1"/>
  <c r="G115" i="40" s="1"/>
  <c r="M80" i="39"/>
  <c r="M82" i="39" s="1"/>
  <c r="M115" i="39" s="1"/>
  <c r="L82" i="39"/>
  <c r="M124" i="36" l="1"/>
  <c r="K124" i="40"/>
  <c r="M88" i="40"/>
  <c r="M116" i="40" s="1"/>
  <c r="I124" i="36"/>
  <c r="M110" i="40"/>
  <c r="M118" i="40" s="1"/>
  <c r="M98" i="40"/>
  <c r="M117" i="40" s="1"/>
  <c r="H120" i="39"/>
  <c r="K120" i="39"/>
  <c r="K136" i="39" s="1"/>
  <c r="K137" i="39" s="1"/>
  <c r="I120" i="40"/>
  <c r="I136" i="40" s="1"/>
  <c r="M88" i="39"/>
  <c r="M116" i="39" s="1"/>
  <c r="M108" i="39"/>
  <c r="M110" i="39" s="1"/>
  <c r="M118" i="39" s="1"/>
  <c r="I58" i="39"/>
  <c r="I61" i="39" s="1"/>
  <c r="I135" i="39" s="1"/>
  <c r="I137" i="39" s="1"/>
  <c r="G58" i="40"/>
  <c r="G58" i="39"/>
  <c r="G61" i="39" s="1"/>
  <c r="G135" i="39" s="1"/>
  <c r="G137" i="39" s="1"/>
  <c r="G58" i="36"/>
  <c r="G61" i="36" s="1"/>
  <c r="G135" i="36" s="1"/>
  <c r="G137" i="36" s="1"/>
  <c r="K58" i="36"/>
  <c r="K61" i="36" s="1"/>
  <c r="K135" i="36" s="1"/>
  <c r="K137" i="36" s="1"/>
  <c r="G120" i="40"/>
  <c r="G136" i="40" s="1"/>
  <c r="M98" i="39"/>
  <c r="M117" i="39" s="1"/>
  <c r="M74" i="39"/>
  <c r="M114" i="39" s="1"/>
  <c r="M120" i="39" s="1"/>
  <c r="M136" i="39" s="1"/>
  <c r="M137" i="39" s="1"/>
  <c r="M74" i="40"/>
  <c r="M114" i="40" s="1"/>
  <c r="M120" i="40" s="1"/>
  <c r="M136" i="40" s="1"/>
  <c r="M137" i="40" s="1"/>
  <c r="K124" i="36" l="1"/>
  <c r="I124" i="39"/>
  <c r="I126" i="39" s="1"/>
  <c r="I128" i="39"/>
  <c r="M124" i="39"/>
  <c r="M124" i="40"/>
  <c r="G124" i="36"/>
  <c r="G128" i="36" s="1"/>
  <c r="G127" i="36" s="1"/>
  <c r="G124" i="39"/>
  <c r="I58" i="40"/>
  <c r="I61" i="40" s="1"/>
  <c r="I135" i="40" s="1"/>
  <c r="I137" i="40" s="1"/>
  <c r="G61" i="40"/>
  <c r="G135" i="40" s="1"/>
  <c r="G137" i="40" s="1"/>
  <c r="K124" i="39"/>
  <c r="K128" i="39" s="1"/>
  <c r="I126" i="36"/>
  <c r="I129" i="36" s="1"/>
  <c r="I138" i="36" s="1"/>
  <c r="I139" i="36" s="1"/>
  <c r="I128" i="36"/>
  <c r="I127" i="36" s="1"/>
  <c r="K128" i="40"/>
  <c r="M128" i="36"/>
  <c r="M126" i="36" s="1"/>
  <c r="K127" i="40" l="1"/>
  <c r="K126" i="40"/>
  <c r="M127" i="36"/>
  <c r="M129" i="36" s="1"/>
  <c r="M138" i="36" s="1"/>
  <c r="M139" i="36" s="1"/>
  <c r="D34" i="10" s="1"/>
  <c r="F34" i="10" s="1"/>
  <c r="G126" i="36"/>
  <c r="I127" i="39"/>
  <c r="K127" i="39"/>
  <c r="K126" i="39"/>
  <c r="K129" i="39" s="1"/>
  <c r="K138" i="39" s="1"/>
  <c r="K139" i="39" s="1"/>
  <c r="D9" i="10" s="1"/>
  <c r="F9" i="10" s="1"/>
  <c r="G124" i="40"/>
  <c r="G128" i="40" s="1"/>
  <c r="G127" i="40" s="1"/>
  <c r="M128" i="39"/>
  <c r="M126" i="39" s="1"/>
  <c r="M129" i="39" s="1"/>
  <c r="M138" i="39" s="1"/>
  <c r="M139" i="39" s="1"/>
  <c r="D35" i="10" s="1"/>
  <c r="F35" i="10" s="1"/>
  <c r="I124" i="40"/>
  <c r="M129" i="40" s="1"/>
  <c r="M138" i="40" s="1"/>
  <c r="M139" i="40" s="1"/>
  <c r="D36" i="10" s="1"/>
  <c r="F36" i="10" s="1"/>
  <c r="I128" i="40"/>
  <c r="I126" i="40" s="1"/>
  <c r="G128" i="39"/>
  <c r="G126" i="39" s="1"/>
  <c r="G129" i="36"/>
  <c r="G138" i="36" s="1"/>
  <c r="G139" i="36" s="1"/>
  <c r="I129" i="39"/>
  <c r="I138" i="39" s="1"/>
  <c r="I139" i="39" s="1"/>
  <c r="K128" i="36"/>
  <c r="K126" i="36" s="1"/>
  <c r="H9" i="10" l="1"/>
  <c r="N64" i="8"/>
  <c r="E18" i="10"/>
  <c r="G18" i="10" s="1"/>
  <c r="G26" i="10" s="1"/>
  <c r="F27" i="9"/>
  <c r="G27" i="9" s="1"/>
  <c r="H27" i="9" s="1"/>
  <c r="H34" i="10"/>
  <c r="E43" i="10"/>
  <c r="G43" i="10" s="1"/>
  <c r="K129" i="36"/>
  <c r="K138" i="36" s="1"/>
  <c r="K139" i="36" s="1"/>
  <c r="D8" i="10" s="1"/>
  <c r="F8" i="10" s="1"/>
  <c r="H36" i="10"/>
  <c r="E45" i="10"/>
  <c r="G45" i="10" s="1"/>
  <c r="G53" i="10" s="1"/>
  <c r="E44" i="10"/>
  <c r="G44" i="10" s="1"/>
  <c r="G52" i="10" s="1"/>
  <c r="H35" i="10"/>
  <c r="G127" i="39"/>
  <c r="G129" i="39" s="1"/>
  <c r="G138" i="39" s="1"/>
  <c r="G139" i="39" s="1"/>
  <c r="K127" i="36"/>
  <c r="I127" i="40"/>
  <c r="I129" i="40" s="1"/>
  <c r="I138" i="40" s="1"/>
  <c r="I139" i="40" s="1"/>
  <c r="G126" i="40"/>
  <c r="G129" i="40" s="1"/>
  <c r="G138" i="40" s="1"/>
  <c r="G139" i="40" s="1"/>
  <c r="K129" i="40"/>
  <c r="K138" i="40" s="1"/>
  <c r="K139" i="40" s="1"/>
  <c r="D10" i="10" s="1"/>
  <c r="F10" i="10" s="1"/>
  <c r="G51" i="10" l="1"/>
  <c r="G54" i="10" s="1"/>
  <c r="G55" i="10" s="1"/>
  <c r="G46" i="10"/>
  <c r="E19" i="10"/>
  <c r="G19" i="10" s="1"/>
  <c r="G27" i="10" s="1"/>
  <c r="H10" i="10"/>
  <c r="F28" i="9"/>
  <c r="G28" i="9" s="1"/>
  <c r="H28" i="9" s="1"/>
  <c r="N65" i="8"/>
  <c r="H37" i="10"/>
  <c r="H38" i="10" s="1"/>
  <c r="P64" i="8"/>
  <c r="N69" i="8"/>
  <c r="E17" i="10"/>
  <c r="G17" i="10" s="1"/>
  <c r="N63" i="8"/>
  <c r="F26" i="9"/>
  <c r="G26" i="9" s="1"/>
  <c r="H8" i="10"/>
  <c r="H11" i="10" s="1"/>
  <c r="H12" i="10" s="1"/>
  <c r="H26" i="9" l="1"/>
  <c r="H29" i="9" s="1"/>
  <c r="H33" i="9" s="1"/>
  <c r="L67" i="8" s="1"/>
  <c r="G29" i="9"/>
  <c r="H31" i="9" s="1"/>
  <c r="P63" i="8"/>
  <c r="N68" i="8"/>
  <c r="G25" i="10"/>
  <c r="G28" i="10" s="1"/>
  <c r="G29" i="10" s="1"/>
  <c r="G20" i="10"/>
  <c r="P65" i="8"/>
  <c r="N70" i="8"/>
  <c r="N74" i="8"/>
  <c r="P74" i="8" s="1"/>
  <c r="P69" i="8"/>
  <c r="N73" i="8" l="1"/>
  <c r="P73" i="8" s="1"/>
  <c r="P68" i="8"/>
  <c r="P70" i="8"/>
  <c r="N75" i="8"/>
  <c r="P75" i="8" s="1"/>
  <c r="M2" i="8"/>
  <c r="L66" i="8"/>
  <c r="M68" i="8"/>
  <c r="O54" i="8" l="1"/>
  <c r="M60" i="8"/>
</calcChain>
</file>

<file path=xl/comments1.xml><?xml version="1.0" encoding="utf-8"?>
<comments xmlns="http://schemas.openxmlformats.org/spreadsheetml/2006/main">
  <authors>
    <author>Wilson Rodrigues de Melo Junior</author>
  </authors>
  <commentList>
    <comment ref="K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K47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</commentList>
</comments>
</file>

<file path=xl/sharedStrings.xml><?xml version="1.0" encoding="utf-8"?>
<sst xmlns="http://schemas.openxmlformats.org/spreadsheetml/2006/main" count="1331" uniqueCount="431">
  <si>
    <t xml:space="preserve"> </t>
  </si>
  <si>
    <t>A</t>
  </si>
  <si>
    <t>B</t>
  </si>
  <si>
    <t xml:space="preserve">Município/UF </t>
  </si>
  <si>
    <t>C</t>
  </si>
  <si>
    <t>D</t>
  </si>
  <si>
    <t>E</t>
  </si>
  <si>
    <t>F</t>
  </si>
  <si>
    <t>G</t>
  </si>
  <si>
    <t>H</t>
  </si>
  <si>
    <t>Categoria profissional (vinculada à execução contratual)</t>
  </si>
  <si>
    <t>Data base da categoria (dia/mês/ano)</t>
  </si>
  <si>
    <t> %</t>
  </si>
  <si>
    <t>%</t>
  </si>
  <si>
    <t>INSS</t>
  </si>
  <si>
    <t>SESI ou SESC</t>
  </si>
  <si>
    <t>SENAI ou SENAC</t>
  </si>
  <si>
    <t>INCRA</t>
  </si>
  <si>
    <t>FGTS</t>
  </si>
  <si>
    <t>SEBRAE</t>
  </si>
  <si>
    <t>Lucro</t>
  </si>
  <si>
    <t>PIS</t>
  </si>
  <si>
    <t>COFINS</t>
  </si>
  <si>
    <t>Tributos</t>
  </si>
  <si>
    <t>Hora noturna adicional</t>
  </si>
  <si>
    <t>Benefícios Mensais e Diários</t>
  </si>
  <si>
    <t>Afastamento Maternidade</t>
  </si>
  <si>
    <t>Ausência por doença</t>
  </si>
  <si>
    <t>Ausências legais</t>
  </si>
  <si>
    <t>Custos Indiretos, Tributos e Lucro</t>
  </si>
  <si>
    <t>Custos indiretos</t>
  </si>
  <si>
    <t>Módulo 1 - Composição da Remuneração</t>
  </si>
  <si>
    <t>Módulo 2 - Benefícios Mensais e Diários</t>
  </si>
  <si>
    <t>Módulo 3 - Insumos Diversos (Uniformes, Materiais,equipamentos e outros)</t>
  </si>
  <si>
    <t>Módulo 4 - Encargos Sociais e Trabalhistas</t>
  </si>
  <si>
    <t>Módulo 5 - Custos Indiretos, Tributos e Lucro</t>
  </si>
  <si>
    <t>MÓDULO 1 - COMPOSIÇÃO DA REMUNERAÇÃO</t>
  </si>
  <si>
    <t>MÓDULO 2 - BENEFÍCIOS MENSAIS E DIÁRIOS</t>
  </si>
  <si>
    <t>MÓDULO 3 - INSUMOS DIVERSOS</t>
  </si>
  <si>
    <t>MÓDULO 4 - ENCARGOS SOCIAIS E TRABALHISTAS</t>
  </si>
  <si>
    <t>MÓDULO 5 - CUSTOS INDIRETOS, TRIBUTOS E LUCRO</t>
  </si>
  <si>
    <t>DATA LICITAÇÃO:</t>
  </si>
  <si>
    <t>HORAS:</t>
  </si>
  <si>
    <t>MUNICÍPIO:</t>
  </si>
  <si>
    <t>Brasília - DF</t>
  </si>
  <si>
    <t>ANO CONV. COLETIVA</t>
  </si>
  <si>
    <t>TIPO DE SERVIÇO:</t>
  </si>
  <si>
    <t>UNIDADE MEDIDA (UM):</t>
  </si>
  <si>
    <t>QUANT. A CONTRATAR EM FUNÇÃO DA U.M</t>
  </si>
  <si>
    <t>Nº MESES EXEC. CONTR.:</t>
  </si>
  <si>
    <t>Reserva Técnica</t>
  </si>
  <si>
    <t xml:space="preserve">                                                                                                                                          </t>
  </si>
  <si>
    <t>Encargos Sociais</t>
  </si>
  <si>
    <t>dias</t>
  </si>
  <si>
    <t>INSUMOS DA MÃO-DE-OBRA (BENEFÍCIOS MENSAIS E DIÁRIOS)</t>
  </si>
  <si>
    <t>Desconto de 6% sobre o salário</t>
  </si>
  <si>
    <t>INSUMOS DIVERSOS</t>
  </si>
  <si>
    <t>D. Adm.</t>
  </si>
  <si>
    <t>ISSQN ou ISS</t>
  </si>
  <si>
    <t>TOTAL - TRIBUTOS</t>
  </si>
  <si>
    <t>CATEGORIA</t>
  </si>
  <si>
    <t>SALÁRIO</t>
  </si>
  <si>
    <t>TOTAL</t>
  </si>
  <si>
    <t>4.1</t>
  </si>
  <si>
    <t>ENCARGOS PREVIDENCIÁRIOS E FGTS</t>
  </si>
  <si>
    <t>SINDICATOS UTILIZADOS NA ELABORAÇÃO DA PROPOSTA</t>
  </si>
  <si>
    <t>SINDICATO</t>
  </si>
  <si>
    <t>VIGÊNCIA ATUAL</t>
  </si>
  <si>
    <t>DATA-BASE</t>
  </si>
  <si>
    <t>SINDESV/SINDESP-DF</t>
  </si>
  <si>
    <t>4.2</t>
  </si>
  <si>
    <t>SUBTOTAL</t>
  </si>
  <si>
    <t>4.3</t>
  </si>
  <si>
    <t>AFASTAMENTO MATERNIDADE</t>
  </si>
  <si>
    <t>4.4</t>
  </si>
  <si>
    <t>PROVISÕES PARA RESCISÃO</t>
  </si>
  <si>
    <t>Aviso Prévio Indenizado </t>
  </si>
  <si>
    <t>4.5</t>
  </si>
  <si>
    <t>CUSTOS DE REPOSIÇÃO DO PROFISSIONAL AUSENTE</t>
  </si>
  <si>
    <t>Licença Paternidade</t>
  </si>
  <si>
    <t>Ausência por Acidente de trabalho</t>
  </si>
  <si>
    <t>Outros (especificar)</t>
  </si>
  <si>
    <t>TOTAL GERAL</t>
  </si>
  <si>
    <t>Nesta</t>
  </si>
  <si>
    <t>---</t>
  </si>
  <si>
    <t>Declarações:</t>
  </si>
  <si>
    <t>Regime de tributação:</t>
  </si>
  <si>
    <t>Sindicatos:</t>
  </si>
  <si>
    <t>Dados da empresa:</t>
  </si>
  <si>
    <t>BRASFORT EMPRESA DE SEGURANÇA LTDA</t>
  </si>
  <si>
    <t>Representante legal:</t>
  </si>
  <si>
    <t>Validade da proposta:</t>
  </si>
  <si>
    <t>ROBÉRIO BANDEIRA DE NEGREIROS</t>
  </si>
  <si>
    <t>SÓCIO-GERENTE</t>
  </si>
  <si>
    <t>Item</t>
  </si>
  <si>
    <t>Quantidade de Postos</t>
  </si>
  <si>
    <t>Unidade</t>
  </si>
  <si>
    <t>Par</t>
  </si>
  <si>
    <t>Posto de Serviço</t>
  </si>
  <si>
    <t>LICITAÇÃO Nº:</t>
  </si>
  <si>
    <t>CNPJ: 03.497.401/0001-97</t>
  </si>
  <si>
    <t>Tipo de serviço (mesmo serviço com características distintas)</t>
  </si>
  <si>
    <t>Salário Normativo da Categoria Profissional</t>
  </si>
  <si>
    <t>Valor  Total (R$)</t>
  </si>
  <si>
    <t>Composição da Remuneração</t>
  </si>
  <si>
    <t>Adcional de Hora Extra</t>
  </si>
  <si>
    <t>Desconto Legal do transporte 6%</t>
  </si>
  <si>
    <t>Insumos Diversos</t>
  </si>
  <si>
    <t xml:space="preserve">Subtotal </t>
  </si>
  <si>
    <t>Submódulo 4.3 - Afastamento Maternidade</t>
  </si>
  <si>
    <t>Submódulo 4.4 - Provisão para Rescisão</t>
  </si>
  <si>
    <t>Provisão para Rescisão</t>
  </si>
  <si>
    <t>Submódulo 4.5 - Custo de Reposição do Profissional Ausente</t>
  </si>
  <si>
    <t>Módulo 4 - Encargos sociais e trabalhistas</t>
  </si>
  <si>
    <t>Subtotal (A + B + C + D)</t>
  </si>
  <si>
    <t>Brasília/DF,</t>
  </si>
  <si>
    <t>Descrição</t>
  </si>
  <si>
    <t>Identificação do Serviço</t>
  </si>
  <si>
    <t>Mão de obra vinculada à execução contratual</t>
  </si>
  <si>
    <t>Submódulo 4.2 - 13º (décimo terceiro) salário</t>
  </si>
  <si>
    <t xml:space="preserve">Salário Educação </t>
  </si>
  <si>
    <t xml:space="preserve">13º (décimo terceiro) Salário </t>
  </si>
  <si>
    <t>Encargos previdenciários, FGTS e outras contribuições</t>
  </si>
  <si>
    <t>Composição do Custo de Reposição do Profissional Ausente</t>
  </si>
  <si>
    <t>Submódulo 4.1 - Encargos previdenciários, FGTS e outras contribuições:</t>
  </si>
  <si>
    <t>Uniformes</t>
  </si>
  <si>
    <t>Inscrição Estadual: 07.328.028/001-25</t>
  </si>
  <si>
    <t>A validade da presente proposta é de 60 (sessenta) dias, a contar a data de sua apresentação.</t>
  </si>
  <si>
    <t>Endereço: SAAN Quadra 01 Lote 635</t>
  </si>
  <si>
    <t xml:space="preserve">Telefone: (61) 3878-3434          Fax: (61) 3878-3433                     </t>
  </si>
  <si>
    <t>Cidade: Brasília/DF                   CEP: 70.632-100</t>
  </si>
  <si>
    <t>4.6</t>
  </si>
  <si>
    <t>Unidade de Medida</t>
  </si>
  <si>
    <t>Ano do acordo coletivo, convenção coletiva ou sentença normativa em dissídio coletivo</t>
  </si>
  <si>
    <t>Data da apresentação da proposta (dia/mês/ano)</t>
  </si>
  <si>
    <t>Nº de meses de execução contratual</t>
  </si>
  <si>
    <t>1.1</t>
  </si>
  <si>
    <t>Quantidade de Funcionários</t>
  </si>
  <si>
    <t>Discriminação dos Serviços (Dados referentes à contratação)</t>
  </si>
  <si>
    <t>Total da Remuneração</t>
  </si>
  <si>
    <t>Total de Benefícios mensais e diários</t>
  </si>
  <si>
    <t>Valor (R$)</t>
  </si>
  <si>
    <t>Total de Insumos diversos</t>
  </si>
  <si>
    <t>Quadro - resumo - Módulo 4 - Encargos sociais e trabalhistas</t>
  </si>
  <si>
    <t>Total dos Encargos Sociais e Trabalhistas</t>
  </si>
  <si>
    <t>I</t>
  </si>
  <si>
    <t>Valor Global da Proposta</t>
  </si>
  <si>
    <t>Valor mensal do serviço</t>
  </si>
  <si>
    <t>13º SALÁRIO</t>
  </si>
  <si>
    <t>Seguro Acidente do Trabalho - RAT x FAP</t>
  </si>
  <si>
    <t xml:space="preserve">Incidência dos encargos previstos no Submódulo 4.1 sobre 13° (décimo terceiro) salário </t>
  </si>
  <si>
    <t>Incidência dos encargos do Submódulo 4.1 sobre o afastamento maternidade</t>
  </si>
  <si>
    <t>Aviso Prévio trabalhado</t>
  </si>
  <si>
    <t>Incidência dos encargos do submódulo 4.1 sobre aviso prévio trabalhado</t>
  </si>
  <si>
    <t>Incidência dos encargos previstos no Submódulo 4.1 sobre o custo de reposição do profissional ausente</t>
  </si>
  <si>
    <t xml:space="preserve">Despesas Administrativas </t>
  </si>
  <si>
    <t>2016/2016</t>
  </si>
  <si>
    <t xml:space="preserve">ESTIMATIVA - EDITAL </t>
  </si>
  <si>
    <t xml:space="preserve">PROPOSTA COMERCIAL </t>
  </si>
  <si>
    <t>01/01/2016 a 31/12/2016</t>
  </si>
  <si>
    <t>Declaramos que iremos cumprir os termos da Convenção Coletiva - SINDESV/SINDESP-DF, e de que reconhecemos a Categoria Sindical, como sendo aquela que regerá durante a vigência do contrato os salários dos profissionais a serem alocados na execução dos serviços objeto deste Termo de Referência. Os preços desta proposta foram elaborados de acordo com a CCT 2016/2016, registro no M.T.E DF000010/2016, vigência 01/01/2016 a 31/12/2016, sendo a data-base da categoria 1º janeiro. Os reajustes terão como base os mesmos percentuais acordados na data-base.</t>
  </si>
  <si>
    <t>CCT UTILIZADA PARA ELABORAÇÃO DA PROPOSTA</t>
  </si>
  <si>
    <t xml:space="preserve">(R$) </t>
  </si>
  <si>
    <t>Fórmula de Cálculo:</t>
  </si>
  <si>
    <t>Manutenção dos equipamentos</t>
  </si>
  <si>
    <t>MÉMORIA SÚMULA 444 TST</t>
  </si>
  <si>
    <t>(A)</t>
  </si>
  <si>
    <t>(B)</t>
  </si>
  <si>
    <t>(D) = (B x C)</t>
  </si>
  <si>
    <t>Tipo de Serviço</t>
  </si>
  <si>
    <t>VALOR MENSAL DOS SERVIÇOS</t>
  </si>
  <si>
    <t>Razão Social: BRASFORT EMPRESA DE SEGURANÇA LTDA</t>
  </si>
  <si>
    <t>E-mail: brasfort@brasfort.com.br // comercial@brasfort.com.br</t>
  </si>
  <si>
    <t>Dados Bancários: Banco do Brasil, Agência nº 3382-0, Conta Corrente nº 435.247-5</t>
  </si>
  <si>
    <t>Esta empresa é optante do LUCRO REAL.</t>
  </si>
  <si>
    <t>Valores VT</t>
  </si>
  <si>
    <t>Normal</t>
  </si>
  <si>
    <t>Circular</t>
  </si>
  <si>
    <t>(C)</t>
  </si>
  <si>
    <t>Adicional Motorizado - Cláusula 3ª, alínea "f" da CCT</t>
  </si>
  <si>
    <t>Ref.:</t>
  </si>
  <si>
    <t>Salário Base</t>
  </si>
  <si>
    <t>Dados complementares para composição dos custos referente à mão de obra</t>
  </si>
  <si>
    <t>(C )</t>
  </si>
  <si>
    <t xml:space="preserve">Valor Mensal </t>
  </si>
  <si>
    <t>ANUAL:</t>
  </si>
  <si>
    <t>----</t>
  </si>
  <si>
    <t>VIGILANTE:</t>
  </si>
  <si>
    <t>(E)</t>
  </si>
  <si>
    <t>(F) = (D x E)</t>
  </si>
  <si>
    <t>Valor proposto por empregado</t>
  </si>
  <si>
    <t>Qtde de empregados por posto</t>
  </si>
  <si>
    <t>Valor proposto por posto</t>
  </si>
  <si>
    <t>Valor do Unitário por posto</t>
  </si>
  <si>
    <t xml:space="preserve">  </t>
  </si>
  <si>
    <t>Noturno</t>
  </si>
  <si>
    <t>Proposta</t>
  </si>
  <si>
    <t>Mín.MPOG</t>
  </si>
  <si>
    <t>Diferença</t>
  </si>
  <si>
    <t>Supervisor</t>
  </si>
  <si>
    <t>Ao</t>
  </si>
  <si>
    <t>Vigilante</t>
  </si>
  <si>
    <t>Qtd. de Profissionais</t>
  </si>
  <si>
    <t>% PROP.</t>
  </si>
  <si>
    <t xml:space="preserve">Valor para 12 (doze) meses </t>
  </si>
  <si>
    <t>(E) = (D x 12)</t>
  </si>
  <si>
    <t>VALOR GLOBAL DA PROPOSTA PARA 12 (DOZE) MESES DE CONTRATO</t>
  </si>
  <si>
    <t>Vigilância</t>
  </si>
  <si>
    <t>001/2017</t>
  </si>
  <si>
    <t>UASG/ID Nº:</t>
  </si>
  <si>
    <t>CCT VENCIDA</t>
  </si>
  <si>
    <t>MINISTÉRIO DE MINAS E ENERGIA - MME</t>
  </si>
  <si>
    <t>PREGÃO ELETRÔNICO Nº 001/2017 - MME</t>
  </si>
  <si>
    <t>PLANILHA DE CUSTOS E FORMAÇÃO DE PREÇOS - MME</t>
  </si>
  <si>
    <t>1.1) 1º/janeiro - Confraternização universal (Art. 1º da Lei nº 662/1949);</t>
  </si>
  <si>
    <t>1.2) Data variável - Sexta-feira da Paixão (Art. 2º da Lei nº 9.093/1995);</t>
  </si>
  <si>
    <t>1.3) 21/abril - Tiradentes (Art. 1º da Lei nº 662/1949);</t>
  </si>
  <si>
    <t>1.4) 1º/maio - Dia do trabalho (Art. 1º da Lei nº 662/1949);</t>
  </si>
  <si>
    <t>1.5) 7/setembro - Independência do Brasil (Art. 1º da Lei nº 662/1949);</t>
  </si>
  <si>
    <t>1.6) 12/outubro - Padroeira do Brasil (Art. 1º da Lei nº 6.802/1980);</t>
  </si>
  <si>
    <t>1.7) 2/novembro - Finados (Art. 1º da Lei nº 662/1949);</t>
  </si>
  <si>
    <t>1.8) 15/novembro - Proclamação da República (Art. 1º da Lei nº 662/1949);</t>
  </si>
  <si>
    <t>Esplanada Bloco "U"</t>
  </si>
  <si>
    <t>MENSAL:</t>
  </si>
  <si>
    <t>Feriados (Súmula nº 444/TST)</t>
  </si>
  <si>
    <t>QTDE.P/ POSTO</t>
  </si>
  <si>
    <t>TRIBUTAÇÃO (Alíquotas)</t>
  </si>
  <si>
    <t>48000.001766/2016-11</t>
  </si>
  <si>
    <t>Secretaria Executiva</t>
  </si>
  <si>
    <t>Subsecretaria de Planejamento, Orçamento e Administração</t>
  </si>
  <si>
    <t>Coordenação-Geral de Compras e Contratos</t>
  </si>
  <si>
    <t>Processo Administrativo nº: 48000.001766/2016-11</t>
  </si>
  <si>
    <t>Data/Hora de Abertura: 22/02/2017 às 10h00</t>
  </si>
  <si>
    <t>A empresa resguarda o direito a repactuação das novas datas-base 2017/2017, tão logo que sejam registradas nos termos legais.</t>
  </si>
  <si>
    <t>Pagamento (item 19 Edital, pág.19)</t>
  </si>
  <si>
    <t>Vigilante Diurno Desarmado - 12 horas de segunda-feira a domingo, envolvendo 2 (dois) vigilantes em turnos de 12x36hs</t>
  </si>
  <si>
    <t>Vigilante Noturno Desarmado - 12 horas de segunda-feira a domingo, envolvendo 2 (dois) vigilantes em turnos de 12x36hs</t>
  </si>
  <si>
    <t xml:space="preserve">Diurno </t>
  </si>
  <si>
    <t xml:space="preserve">- Fornecer crachá e EPI's, quando for o caso (subitem 12.6 TR, pág.36); </t>
  </si>
  <si>
    <t>CV</t>
  </si>
  <si>
    <t xml:space="preserve">- Manter Preposto no local de prestação de serviço (subitem 12.26 TR, pág.39); </t>
  </si>
  <si>
    <t>- Fornecer roupeiros de aço, portas altas, com pintura antiferrugem e total de compartimentos (portas) suficientes ao número de empregados, sendo um compartimento para cada, com fechadura (à chave) ou pitão para cadeado (subitem12.52 TR, pág.41);</t>
  </si>
  <si>
    <t>12x36hs</t>
  </si>
  <si>
    <t>Conta Vinculada (subitens 12.14 a 12.19.4 e Item 23 TR, pág.37/38 e 52)</t>
  </si>
  <si>
    <t xml:space="preserve">Conforme subitem 22.2 do Termo de Referência, foram observados os Limites Mínimos e Máximos para Contratação de Serviços de Vigilância no Distrito Federal estipulado na Portaria do MPOG </t>
  </si>
  <si>
    <t>Especificações dos Uniformes</t>
  </si>
  <si>
    <t>ANEXO II</t>
  </si>
  <si>
    <t>RELAÇÃO DOS UNIFORMES A SEREM DISPONIBILIZADOS</t>
  </si>
  <si>
    <t>PLANILHA ESTIMATIVA DE UNIFORMES - VALOR MENSAL E ANUAL</t>
  </si>
  <si>
    <t>Preço Unitário Médio</t>
  </si>
  <si>
    <t>Ternos, na cor preta, 55% poliéster, 45% lã leve fina, em tecido tipo microfibra, forrado internamente, inclusive na manga, de boa qualidade.</t>
  </si>
  <si>
    <t>Gravata, em tecido 100% poliéster ou 100% seda, na cor preta, de boa qualidade.</t>
  </si>
  <si>
    <t>Camisa, em estilo social em tecido, gola com entretela, 65% poliéster e 35% algodão, cor azul clara ou branca, de boa qualidade.</t>
  </si>
  <si>
    <t>Sapatos, tipo esporte fino, com cadarço, de couro, solado de borracha, cor preta, de boa qualidade.</t>
  </si>
  <si>
    <t>Meias, de tecido 60% algodão, 39% poliamida e 1% elastano, cor preta, de boa qualidade.</t>
  </si>
  <si>
    <t>Cinto, tipo esporte fino, de couro e cor preta, de boa qualidade.</t>
  </si>
  <si>
    <t>ANEXO III</t>
  </si>
  <si>
    <t>Preço Total/Vigilante + Supervisor</t>
  </si>
  <si>
    <t>Quantidade Anual por Vigilante + Supervisor</t>
  </si>
  <si>
    <t>RELAÇÃO DE MATERIAIS DE CONSUMO E EQUIPAMENTOS A SEREM DISPONIBILIZADOS</t>
  </si>
  <si>
    <t>Material de Consumo e Equipamentos (ANUAL)</t>
  </si>
  <si>
    <t>MATERIAL DE CONSUMO</t>
  </si>
  <si>
    <t xml:space="preserve">Quantidade </t>
  </si>
  <si>
    <t>Em R$</t>
  </si>
  <si>
    <t>Preço Unitário</t>
  </si>
  <si>
    <t>Preço Total</t>
  </si>
  <si>
    <t>Mensal</t>
  </si>
  <si>
    <t>Anual</t>
  </si>
  <si>
    <t>TOTAL GERAL ANUAL (VIGILANTE + SUPERVISOR)</t>
  </si>
  <si>
    <t>TOTAL ANUAL (VIGILANTE + SUPERVISOR)</t>
  </si>
  <si>
    <t>TOTAL MENSAL (VIGILANTE + SUPERVISOR)</t>
  </si>
  <si>
    <t>Livros para anotações de ocorrências, capa dura, contendo 100 folhas pautadas cada, um para cada mês.</t>
  </si>
  <si>
    <t>Canetas esferográficas.</t>
  </si>
  <si>
    <t>Resma de Papel.</t>
  </si>
  <si>
    <t>Bloco de Rascunho tamanho ofício.</t>
  </si>
  <si>
    <t>EQUIPAMENTO PARA DESENVOLVIMENTO DAS ATIVIDADES</t>
  </si>
  <si>
    <t>Lanternas Vigilight ou similar, de mão, tipo farolete, com lâmpada Halógena de 55 W, tensão de carregador 110 V/220 V, peso Máximo de 3,6 Kg.</t>
  </si>
  <si>
    <t>Spray de defesa de gás pimenta, extra forte, frasco com 110 ml, previsão anual.</t>
  </si>
  <si>
    <t xml:space="preserve">Especificações </t>
  </si>
  <si>
    <t>Conforme Edital/Escl.</t>
  </si>
  <si>
    <t>Valor de R$ 10,00 CCT/2016 - Não integra no Contrato atual e Conforme Esclarecimento não cotar por ser entendido como parte do auxílio saúde</t>
  </si>
  <si>
    <t>Auxílio Funeral (Despesas de sepultamento - R$ 3.560,00 - Cláusula 16ª alínea "d" da CCT/2016</t>
  </si>
  <si>
    <t>Seguro de vida, inclusive invalidez - Cláusula 16ª da CCT/2016</t>
  </si>
  <si>
    <t>R$ 25,22 Contrato Atual e R$ 26,11 Edital</t>
  </si>
  <si>
    <t>Valores reais</t>
  </si>
  <si>
    <t xml:space="preserve">Auxílio alimentação (Tiquete refeição de R$ 32,00 x 20,5 dias efetivamente trabalhados) - Cláusula 12ª da CCT/2016 </t>
  </si>
  <si>
    <t>Seguro de Vida</t>
  </si>
  <si>
    <t>R$ 1,80 Contrato Atual e R$ 17,80 Edital</t>
  </si>
  <si>
    <t>R$ 6,83 Contrato Atual e R$ 36,67 Edital</t>
  </si>
  <si>
    <t>CT 15,5</t>
  </si>
  <si>
    <t>CT 25</t>
  </si>
  <si>
    <t>44hs</t>
  </si>
  <si>
    <t>Salário Mín. Categoria</t>
  </si>
  <si>
    <t>CT 70,64%</t>
  </si>
  <si>
    <t>Valor de R$ 140,00 CCT/2016 - Não integra no Contrato atual e Conforme Esclarecimento não cotar conforme Parecer Nº 15/2014/CPLC/ DEPCONSU/PGF/AGU c/c a Portaria Nº 409, de 21/12/2016</t>
  </si>
  <si>
    <t>R$ 110,28 (Supervisor) e R$ 88,67 (Not.Armado) Contrato Atual e R$ 247,19 Edital</t>
  </si>
  <si>
    <t>R$ 7,65 Contrato Atual e Não há depreciação no Edital</t>
  </si>
  <si>
    <t>R$ 5,57 Contrato Atual e R$ 4,71 Edital</t>
  </si>
  <si>
    <t>R$ 76,52 Contrato Atual e R$ 46,88 Edital</t>
  </si>
  <si>
    <t>1,00% Contrato Atual e 7,39% Edital</t>
  </si>
  <si>
    <t>1,35230% Contrato Atual e 5,00% Edital</t>
  </si>
  <si>
    <t>Data 22/02/2017 às 10h00</t>
  </si>
  <si>
    <t>Pregão Eletrônico nº</t>
  </si>
  <si>
    <t>Processo nº</t>
  </si>
  <si>
    <t>CNPJ Nº: 37.115.383/0001-53</t>
  </si>
  <si>
    <t>Valor do Contrato Atual</t>
  </si>
  <si>
    <t>(*) No contrato atual são 07 Postos com 13 Profissionais</t>
  </si>
  <si>
    <t>QTDE. PROF. (*)</t>
  </si>
  <si>
    <t>QTD POSTOS(*)</t>
  </si>
  <si>
    <t>Mão-de-obra</t>
  </si>
  <si>
    <t>Supervisor Diurno Desarmado - 44 h./semana</t>
  </si>
  <si>
    <t>1º de Janeiro</t>
  </si>
  <si>
    <t>Adicional de Insalubridade</t>
  </si>
  <si>
    <t>Adicional de Periculosidade/Risco de Vida - (Lei nº 12.740/2012 e Cláusula 3ª § 4º da CCT/2016)</t>
  </si>
  <si>
    <t>Adicional Noturno - Cláusula 49ª da CCT/2016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</si>
  <si>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</t>
    </r>
  </si>
  <si>
    <t>Não se Aplica ao Supervisor, por se tratar de pagamento somente para regime 12x36</t>
  </si>
  <si>
    <t>Auxílio Saúde - Cláusula 14ª da CCT/2016 - NÃO SE APLICA CONFORME PARECER Nº 15/2014/CPLC/ DEPCONSU/PGF/AGU</t>
  </si>
  <si>
    <t>Fundo Ind. Aposent. Ou Doença - Cláusula 15ª da CCT/2016</t>
  </si>
  <si>
    <t>Auxílio alimentação (Tiquete refeição de R$ 32,00 x 15,5 dias efetivamente trabalhados) - Cláusula 12ª da CCT/2016</t>
  </si>
  <si>
    <t>Fundo Social e Odontológico - Cláusula 18ª da CCT/2016 - NÃO SE APLICA CONFORME PARECER Nº 15/2014/CPLC/ DEPCONSU/PGF/AGU, por entender que integra ao Auxílio Saúde</t>
  </si>
  <si>
    <t>Treinamento/Capacitação/Reciclagem - Cláusula 28ª da CCT/2016</t>
  </si>
  <si>
    <t>Equipamentos para desenvolvimento das atividades</t>
  </si>
  <si>
    <t>Materiais de Consumo Mensal</t>
  </si>
  <si>
    <t>Conforme Edital exceto SAT, incidências e CV                      (Edital 70,70%)</t>
  </si>
  <si>
    <t>Edital e Contrato Zerado</t>
  </si>
  <si>
    <t>CT 3,33%</t>
  </si>
  <si>
    <t>CT 11,11%</t>
  </si>
  <si>
    <t>CT 2,12%</t>
  </si>
  <si>
    <t>CT 0,56%</t>
  </si>
  <si>
    <t>CT 0,02%</t>
  </si>
  <si>
    <t>Prezados Senhores,</t>
  </si>
  <si>
    <t>PROPOSTA DE PREÇOS Nº 011/2017</t>
  </si>
  <si>
    <t>O correto a incidência sobre o FGTS</t>
  </si>
  <si>
    <t>Incidência dos encargos do submódulo 4.1 sobre aviso prévio indenizado</t>
  </si>
  <si>
    <t xml:space="preserve">Multa do FGTS e contribuições sociais sobre o aviso prévio indenizado </t>
  </si>
  <si>
    <t>Multa do FGTS e contribuições sociais sobre o aviso prévio trabalhado</t>
  </si>
  <si>
    <t>Total dos Custos Indiretos, Tributos e Lucro</t>
  </si>
  <si>
    <t>B.1. Tributos Federais - PIS (0,65%) + COFINS (3,00%) = 3,65%</t>
  </si>
  <si>
    <t>B.2. Tributos Estaduais - ISS (5,00%) (Distrito Federal)</t>
  </si>
  <si>
    <t>Quadro-resumo do Custo por Empregado</t>
  </si>
  <si>
    <t>Mão-de-obra vinculada à execução contratual (valor por empregado)</t>
  </si>
  <si>
    <t>Valor total por empregado</t>
  </si>
  <si>
    <t>II</t>
  </si>
  <si>
    <t>III</t>
  </si>
  <si>
    <t>Quadro-resumo - VALOR MENSAL DOS SERVIÇOS</t>
  </si>
  <si>
    <t>Valor total do serviço</t>
  </si>
  <si>
    <t>VALOR MENSAL DOS SERVIÇOS (I + II + III)</t>
  </si>
  <si>
    <t>Quadro-demonstrativo - VALOR GLOBAL DA PROPOSTA</t>
  </si>
  <si>
    <t>A1</t>
  </si>
  <si>
    <t>A2</t>
  </si>
  <si>
    <t>A3</t>
  </si>
  <si>
    <t>Valor globa da proposta (valor mensal do serviço x 12 meses do contrato)</t>
  </si>
  <si>
    <t>Complemento dos Serviços de Vigilância</t>
  </si>
  <si>
    <t>TIPO</t>
  </si>
  <si>
    <t>ESCALA DE TRABALHO</t>
  </si>
  <si>
    <t>PREÇO MENSAL DO POSTO</t>
  </si>
  <si>
    <t>Nº DE POSTOS</t>
  </si>
  <si>
    <t>SUBTOTAL (R$)</t>
  </si>
  <si>
    <t>ANEXO V</t>
  </si>
  <si>
    <t>1.2</t>
  </si>
  <si>
    <t>Vigilante Diurno Desarmado - 12x36hs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</si>
  <si>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 - NÃO SE APLICA</t>
    </r>
  </si>
  <si>
    <t>Vigilante Noturno Desarmado - 12x36hs</t>
  </si>
  <si>
    <r>
      <t xml:space="preserve">Adicional Noturno - Cláusula 49ª da CCT/2016 [(Coeficiente de Conversão Hora Noturna (1,142857) x Qtd.horas (9:00hs = 22:00 às 07:00hs) x (Valor Hora = (Salário Base + Ad.Peric.) </t>
    </r>
    <r>
      <rPr>
        <sz val="11"/>
        <rFont val="Calibri"/>
        <family val="2"/>
      </rPr>
      <t>÷ 220hs x (alíquota adic. Not = 20%) x (qtd.dias = 15,5)]</t>
    </r>
  </si>
  <si>
    <t>Contrato atual o cálculo está por hora</t>
  </si>
  <si>
    <t>Brasfort</t>
  </si>
  <si>
    <t>Edital</t>
  </si>
  <si>
    <t xml:space="preserve"> Salário Base + Adicionais + Intervalo de Intrajornada ÷ 30 dias x nº de feriados no ano ÷ 12 meses</t>
  </si>
  <si>
    <t>A presente proposta para a prestação de serviços de Vigilância desarmada, será pelo preço mensal e valor total global para 12 (doze) meses conforme planilha abaixo:</t>
  </si>
  <si>
    <t>Declaramos que estamos de pleno acordo com todas as condições estabelecidas no Edital e seus Anexos, bem como aceitamos todas as obrigações e responsabilidades especificadas no Termo de Referência, Anexo I do Edital.</t>
  </si>
  <si>
    <t>Declaramos que nos preços cotados estão incluídas todas as despesas que, direta ou indiretamente, façam parte da prestação dos serviços, tais como gastos da empresa com suporte técnico e administrativo, impostos, seguro, taxas, ou quaisquer outros que possam incidir sobre gastos da empresa, sem quaisquer acréscimos em virtude de expectativa inflacionária e deduzidos os descontos eventualmente concedidos.</t>
  </si>
  <si>
    <t>Repactuação (Item 26 TR, pág.54 e Cláusula 6ª MC, pág.90)</t>
  </si>
  <si>
    <t>C.I nº: 257.787/SSP-DF e CPF nº: 084.837.521-15</t>
  </si>
  <si>
    <t>Nome: Robério Bandeira de Negreiros</t>
  </si>
  <si>
    <t>Cargo: Sócio-Gerente</t>
  </si>
  <si>
    <t>Garantia (item 13 Edital, pág.16 e Cláusula 76ª MC, pág.92)</t>
  </si>
  <si>
    <t>Critérios de Sustentabilidade Ambiental (Item 28 TR, pág.56 e  Cláusula 11ª MC, pág.94)</t>
  </si>
  <si>
    <t>Acréscimos ou supreessões (subitem 31.4 TR, pág.58 e  Cláusula 15ª MC, pág.97)</t>
  </si>
  <si>
    <t>Feriados Nacionais considerados para o cálculo da Súmula, conforme Decreto nº 38.011, de 16 de Fevereiro de 2017:</t>
  </si>
  <si>
    <t>LANCE FINAL:</t>
  </si>
  <si>
    <t>Transporte [(R$ 5,00) x 2] x 20,5 dias - Cláusula 13ª da CCT/2016</t>
  </si>
  <si>
    <t>Transporte [(R$ 5,00) x 2] x 15,5 dias - Cláusula 13ª da CCT/2016</t>
  </si>
  <si>
    <t>Adicional de férias</t>
  </si>
  <si>
    <t xml:space="preserve">Férias </t>
  </si>
  <si>
    <t>1.9) 25/dezembro - Natal (Art. 1º da Lei nº 662/1949).</t>
  </si>
  <si>
    <t>CV 4,35</t>
  </si>
  <si>
    <t>Na renovação vai p/ 68,32%</t>
  </si>
  <si>
    <t>PROPOSTA FINAL RETIFICADA - 2ª DILIGÊNCIA - CONTRAPROPOSTA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</si>
  <si>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</si>
  <si>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</si>
  <si>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</si>
  <si>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</si>
  <si>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</si>
  <si>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r>
      <t>Comprovar, antes da assinatura do contrato, a formação técnica específica da mão-de-obra oferecida, através de</t>
    </r>
    <r>
      <rPr>
        <b/>
        <u/>
        <sz val="9"/>
        <rFont val="Cambria"/>
        <family val="1"/>
      </rPr>
      <t xml:space="preserve"> Certificado de Curso de Formação de Vigilantes</t>
    </r>
    <r>
      <rPr>
        <b/>
        <sz val="9"/>
        <rFont val="Cambria"/>
        <family val="1"/>
      </rPr>
      <t xml:space="preserve"> , como também apresentar os</t>
    </r>
    <r>
      <rPr>
        <b/>
        <u/>
        <sz val="9"/>
        <rFont val="Cambria"/>
        <family val="1"/>
      </rPr>
      <t xml:space="preserve"> Atestados de Antecedentes civil e ciminal</t>
    </r>
    <r>
      <rPr>
        <b/>
        <sz val="9"/>
        <rFont val="Cambria"/>
        <family val="1"/>
      </rPr>
      <t xml:space="preserve"> dos empregados que prestarão serviços no Ministério. (subitens 12.37 e 12.39 TR, pág.40)</t>
    </r>
  </si>
  <si>
    <r>
      <t>Apresentar comprovação de</t>
    </r>
    <r>
      <rPr>
        <b/>
        <u/>
        <sz val="9"/>
        <rFont val="Cambria"/>
        <family val="1"/>
      </rPr>
      <t xml:space="preserve"> Seguro de Vida Coletivo</t>
    </r>
    <r>
      <rPr>
        <b/>
        <sz val="9"/>
        <rFont val="Cambria"/>
        <family val="1"/>
      </rPr>
      <t>, com abrangência para todos os vigilantes lotados no Ministério, na forma do Art. 4 da Portaria nº 358/2009-DG/DPF, em até 30 (trinta) dias após a assinatura do contrato (subitem 12.70 TR, pág.43)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</si>
  <si>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20,5 dias) - NÃO SE APLICA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</si>
  <si>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15,5 dias) </t>
    </r>
  </si>
  <si>
    <t>2017/2017</t>
  </si>
  <si>
    <r>
      <t xml:space="preserve">Supervisor Diurno Desarmado - 44hs semanais </t>
    </r>
    <r>
      <rPr>
        <sz val="9"/>
        <color indexed="10"/>
        <rFont val="Cambria"/>
        <family val="1"/>
      </rPr>
      <t>envolvendo 1 (um) funcionário</t>
    </r>
  </si>
  <si>
    <r>
      <t xml:space="preserve">Apresentamos a V.Sa. a nossa proposta final após as determinações e justificaticas contidas na Diligência de propostas de 14/03/2017, para a </t>
    </r>
    <r>
      <rPr>
        <b/>
        <sz val="10"/>
        <rFont val="Arial Narrow"/>
        <family val="2"/>
      </rPr>
      <t>prestação de serviços de vigilância desarmada período diurno/noturno</t>
    </r>
    <r>
      <rPr>
        <sz val="10"/>
        <rFont val="Arial Narrow"/>
        <family val="2"/>
      </rPr>
      <t>, a serem executados de forma contínua, com disponibilização de vigilante e supervisor, com fornecimento de materiais acessórios, a serem executados de forma contínua, no âmbito do Bloco “U” da Esplanada dos Ministérios, sedes dos Ministérios de Minas e Energia, e do Turismo, em Brasília - DF, conforme especificações técnicas, quantitativos e demais condições e exigências estabelecidas no Edital e seus Anexos.</t>
    </r>
  </si>
  <si>
    <t>PERÍODO DE 1º de janeiro/2018 até 05 de abril/2018</t>
  </si>
  <si>
    <t>PERÍODO à partir de 06 de abril/2018</t>
  </si>
  <si>
    <t>01.Jan.2018 a 05.Abr.2018</t>
  </si>
  <si>
    <t>06.Abr.2018 a 06.Abr.2019</t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</si>
  <si>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</si>
  <si>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Mês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</si>
  <si>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(Vigilantes+Supervisores/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</si>
  <si>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</si>
  <si>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Mês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</si>
  <si>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(Vigilantes+Supervisores/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</si>
  <si>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t xml:space="preserve">Aparelho de radiocomunicação, com níveis de potência ajustáveis, com alcance mínimo de 20 km na transmissão, nível profissional, acompanhado de baterias carregáveis e carregado ou </t>
    </r>
    <r>
      <rPr>
        <b/>
        <sz val="8.5"/>
        <rFont val="Cambria"/>
        <family val="1"/>
      </rPr>
      <t>aluguel mensal junto a uma operadora.</t>
    </r>
  </si>
  <si>
    <t>INICIAL</t>
  </si>
  <si>
    <r>
      <rPr>
        <b/>
        <sz val="9"/>
        <rFont val="Cambria"/>
        <family val="1"/>
      </rPr>
      <t>- Diurno:</t>
    </r>
    <r>
      <rPr>
        <sz val="9"/>
        <rFont val="Cambria"/>
        <family val="1"/>
      </rPr>
      <t xml:space="preserve"> R$ 2.012,54 (Salário Base) + R$ 603,76 (Adicional de Periculosidade) ÷ 30 dias x 10 (nº de feriados no ano) ÷ 12 meses = </t>
    </r>
    <r>
      <rPr>
        <b/>
        <u/>
        <sz val="9"/>
        <rFont val="Cambria"/>
        <family val="1"/>
      </rPr>
      <t>R$ 65,71</t>
    </r>
  </si>
  <si>
    <r>
      <rPr>
        <b/>
        <sz val="9"/>
        <rFont val="Cambria"/>
        <family val="1"/>
      </rPr>
      <t>- Noturno:</t>
    </r>
    <r>
      <rPr>
        <sz val="9"/>
        <rFont val="Cambria"/>
        <family val="1"/>
      </rPr>
      <t xml:space="preserve"> R$ 2.012,54 (Salário Base) + R$ 603,76 (Adicional de Periculosidade) + R$ 379,19 (Adicional Noturno) ÷ 30 dias x 10 (nº de feriados no ano) ÷ 12 meses = </t>
    </r>
    <r>
      <rPr>
        <b/>
        <u/>
        <sz val="9"/>
        <rFont val="Cambria"/>
        <family val="1"/>
      </rPr>
      <t>R$ 75,26</t>
    </r>
  </si>
  <si>
    <t>1º Termo Aditivo - A partir de 06/04/2018 - Inseriu 1 Supervisor e concedeu Repactuação (desconto)</t>
  </si>
  <si>
    <t>Supervisor Diurno Desarmado - 44hs semanais envolvendo 1 (um) funcionário</t>
  </si>
  <si>
    <t>CONTRATO</t>
  </si>
  <si>
    <t>A partir de 06.Abr.2018 a 06.Abr.2019</t>
  </si>
  <si>
    <t xml:space="preserve">Acréscimo salário, Auxílio alimentação de R$32,0 para R$34,11, 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</si>
  <si>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</si>
  <si>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</si>
  <si>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</si>
  <si>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</si>
  <si>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</si>
  <si>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t xml:space="preserve">Supressão da Sumula 444, Reajuste salarial, Aumento do auxilio alimentação para 34,11, </t>
  </si>
  <si>
    <t>Supressão da Sumula 444, Reajuste salarial, Aumento do auxilio alimentação para 34,11, alteração na proporção da material e equipamentos para 16 colaboradores</t>
  </si>
  <si>
    <t>Acréscimo salário, Auxílio alimentação de R$32,0 para R$34,11, , alteração na proporção da material e equipamentos para 16 colaboradores</t>
  </si>
  <si>
    <t>VALOR GLOBAL DO CONTRATO APÓS REPACTUAÇÃO</t>
  </si>
  <si>
    <t>VALOR DOS SERVIÇOS DE 01/01/2018 A 05/01/2018</t>
  </si>
  <si>
    <t>VALOR DOS SERVIÇOS A PARTIR DE 06/01/2018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</si>
</sst>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0.0000"/>
    <numFmt numFmtId="169" formatCode="&quot;R$ &quot;#,##0.00"/>
    <numFmt numFmtId="170" formatCode="0.000"/>
    <numFmt numFmtId="171" formatCode="&quot;R$&quot;\ #,##0.00"/>
    <numFmt numFmtId="172" formatCode="00"/>
    <numFmt numFmtId="173" formatCode="[$-F800]dddd\,\ mmmm\ dd\,\ yyyy"/>
    <numFmt numFmtId="174" formatCode="_-[$R$-416]\ * #,##0.00_-;\-[$R$-416]\ * #,##0.00_-;_-[$R$-416]\ * &quot;-&quot;??_-;_-@_-"/>
  </numFmts>
  <fonts count="72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name val="Cambria"/>
      <family val="1"/>
    </font>
    <font>
      <sz val="11"/>
      <name val="Calibri"/>
      <family val="2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u/>
      <sz val="9"/>
      <name val="Cambria"/>
      <family val="1"/>
    </font>
    <font>
      <sz val="9"/>
      <color indexed="10"/>
      <name val="Cambria"/>
      <family val="1"/>
    </font>
    <font>
      <sz val="8"/>
      <color indexed="8"/>
      <name val="Calibri"/>
      <family val="2"/>
    </font>
    <font>
      <sz val="8"/>
      <color indexed="8"/>
      <name val="Cambria"/>
      <family val="1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8"/>
      <name val="Cambria"/>
      <family val="1"/>
    </font>
    <font>
      <b/>
      <sz val="8"/>
      <name val="Cambria"/>
      <family val="1"/>
    </font>
    <font>
      <b/>
      <sz val="8.5"/>
      <name val="Cambria"/>
      <family val="1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indexed="12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sz val="13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name val="Cambria"/>
      <family val="1"/>
      <scheme val="major"/>
    </font>
    <font>
      <u/>
      <sz val="9"/>
      <name val="Cambria"/>
      <family val="1"/>
      <scheme val="major"/>
    </font>
    <font>
      <b/>
      <u/>
      <sz val="9"/>
      <color rgb="FFFF0000"/>
      <name val="Cambria"/>
      <family val="1"/>
      <scheme val="major"/>
    </font>
    <font>
      <b/>
      <u/>
      <sz val="9"/>
      <name val="Cambria"/>
      <family val="1"/>
      <scheme val="major"/>
    </font>
    <font>
      <sz val="9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u/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rgb="FFFF000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10"/>
      <name val="Cambria"/>
      <family val="1"/>
      <scheme val="major"/>
    </font>
    <font>
      <b/>
      <sz val="9"/>
      <color indexed="10"/>
      <name val="Cambria"/>
      <family val="1"/>
      <scheme val="major"/>
    </font>
    <font>
      <sz val="8"/>
      <color indexed="8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9"/>
      <color indexed="9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8.5"/>
      <name val="Cambria"/>
      <family val="1"/>
      <scheme val="major"/>
    </font>
    <font>
      <b/>
      <u/>
      <sz val="8.5"/>
      <name val="Cambria"/>
      <family val="1"/>
      <scheme val="major"/>
    </font>
    <font>
      <b/>
      <sz val="8.5"/>
      <name val="Cambria"/>
      <family val="1"/>
      <scheme val="major"/>
    </font>
    <font>
      <b/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F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0" fontId="2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930">
    <xf numFmtId="0" fontId="0" fillId="0" borderId="0" xfId="0"/>
    <xf numFmtId="0" fontId="3" fillId="0" borderId="0" xfId="8" applyFont="1" applyAlignment="1">
      <alignment vertical="center"/>
    </xf>
    <xf numFmtId="0" fontId="3" fillId="0" borderId="0" xfId="10" applyFont="1"/>
    <xf numFmtId="0" fontId="3" fillId="0" borderId="0" xfId="10" applyFont="1" applyBorder="1"/>
    <xf numFmtId="0" fontId="4" fillId="0" borderId="0" xfId="10" applyFont="1"/>
    <xf numFmtId="0" fontId="3" fillId="0" borderId="0" xfId="10"/>
    <xf numFmtId="0" fontId="7" fillId="0" borderId="0" xfId="10" applyFont="1" applyFill="1" applyAlignment="1">
      <alignment horizontal="center" vertical="center"/>
    </xf>
    <xf numFmtId="165" fontId="7" fillId="0" borderId="0" xfId="10" applyNumberFormat="1" applyFont="1" applyFill="1" applyAlignment="1">
      <alignment horizontal="center" vertical="center"/>
    </xf>
    <xf numFmtId="0" fontId="5" fillId="0" borderId="0" xfId="10" applyFont="1" applyFill="1" applyAlignment="1">
      <alignment vertical="center"/>
    </xf>
    <xf numFmtId="165" fontId="5" fillId="0" borderId="0" xfId="10" applyNumberFormat="1" applyFont="1" applyFill="1" applyAlignment="1">
      <alignment vertical="center"/>
    </xf>
    <xf numFmtId="0" fontId="3" fillId="0" borderId="0" xfId="10" applyAlignment="1">
      <alignment vertical="center"/>
    </xf>
    <xf numFmtId="0" fontId="3" fillId="0" borderId="0" xfId="10" applyFont="1" applyAlignment="1">
      <alignment horizontal="justify" vertical="justify"/>
    </xf>
    <xf numFmtId="0" fontId="8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43" fontId="5" fillId="0" borderId="0" xfId="10" applyNumberFormat="1" applyFont="1" applyFill="1" applyAlignment="1">
      <alignment vertical="center"/>
    </xf>
    <xf numFmtId="0" fontId="6" fillId="0" borderId="0" xfId="14" applyFont="1" applyAlignment="1">
      <alignment horizontal="center" vertical="center" wrapText="1"/>
    </xf>
    <xf numFmtId="0" fontId="3" fillId="0" borderId="0" xfId="10" applyFill="1" applyAlignment="1">
      <alignment vertical="center"/>
    </xf>
    <xf numFmtId="0" fontId="3" fillId="0" borderId="0" xfId="1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/>
    <xf numFmtId="0" fontId="31" fillId="0" borderId="0" xfId="0" applyFont="1" applyFill="1" applyBorder="1" applyAlignment="1" applyProtection="1">
      <alignment vertical="center" wrapText="1"/>
      <protection locked="0"/>
    </xf>
    <xf numFmtId="0" fontId="32" fillId="0" borderId="2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 wrapText="1"/>
      <protection locked="0"/>
    </xf>
    <xf numFmtId="14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justify" vertical="center" wrapText="1"/>
    </xf>
    <xf numFmtId="10" fontId="31" fillId="0" borderId="0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1" fillId="0" borderId="0" xfId="14" applyFont="1" applyAlignment="1">
      <alignment vertical="center"/>
    </xf>
    <xf numFmtId="0" fontId="31" fillId="0" borderId="0" xfId="8" applyFont="1" applyAlignment="1">
      <alignment vertical="center"/>
    </xf>
    <xf numFmtId="0" fontId="31" fillId="0" borderId="0" xfId="8" applyFont="1"/>
    <xf numFmtId="0" fontId="28" fillId="0" borderId="0" xfId="13" applyAlignment="1">
      <alignment vertical="center"/>
    </xf>
    <xf numFmtId="0" fontId="34" fillId="0" borderId="0" xfId="13" applyFont="1" applyAlignment="1">
      <alignment vertical="center"/>
    </xf>
    <xf numFmtId="0" fontId="35" fillId="0" borderId="0" xfId="13" applyFont="1" applyAlignment="1">
      <alignment horizontal="center" vertical="center"/>
    </xf>
    <xf numFmtId="167" fontId="35" fillId="0" borderId="0" xfId="4" applyFont="1" applyAlignment="1">
      <alignment horizontal="center" vertical="center"/>
    </xf>
    <xf numFmtId="0" fontId="36" fillId="0" borderId="0" xfId="13" applyFont="1" applyAlignment="1">
      <alignment horizontal="center" vertical="center"/>
    </xf>
    <xf numFmtId="0" fontId="4" fillId="0" borderId="0" xfId="8" applyFont="1" applyAlignment="1">
      <alignment vertical="center" wrapText="1"/>
    </xf>
    <xf numFmtId="0" fontId="35" fillId="0" borderId="0" xfId="13" applyFont="1" applyAlignment="1">
      <alignment vertical="center"/>
    </xf>
    <xf numFmtId="0" fontId="3" fillId="0" borderId="0" xfId="8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8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" fillId="0" borderId="0" xfId="14" applyAlignment="1">
      <alignment vertical="center"/>
    </xf>
    <xf numFmtId="0" fontId="6" fillId="0" borderId="0" xfId="14" applyFont="1" applyAlignment="1">
      <alignment vertical="center"/>
    </xf>
    <xf numFmtId="0" fontId="3" fillId="0" borderId="0" xfId="14" applyBorder="1" applyAlignment="1">
      <alignment vertical="center"/>
    </xf>
    <xf numFmtId="0" fontId="37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0" xfId="0" applyFont="1" applyAlignment="1">
      <alignment horizontal="justify" vertical="center"/>
    </xf>
    <xf numFmtId="43" fontId="31" fillId="0" borderId="0" xfId="0" applyNumberFormat="1" applyFont="1" applyAlignment="1">
      <alignment horizontal="justify" vertical="center"/>
    </xf>
    <xf numFmtId="0" fontId="31" fillId="0" borderId="0" xfId="0" applyFont="1" applyFill="1" applyAlignment="1">
      <alignment horizontal="justify" vertical="center"/>
    </xf>
    <xf numFmtId="0" fontId="31" fillId="0" borderId="0" xfId="0" applyFont="1" applyFill="1" applyAlignment="1"/>
    <xf numFmtId="0" fontId="31" fillId="0" borderId="0" xfId="0" applyFont="1" applyFill="1" applyBorder="1" applyAlignment="1">
      <alignment horizontal="justify" vertical="center"/>
    </xf>
    <xf numFmtId="0" fontId="31" fillId="0" borderId="0" xfId="0" applyFont="1" applyBorder="1" applyAlignment="1">
      <alignment horizontal="justify" vertical="center"/>
    </xf>
    <xf numFmtId="0" fontId="31" fillId="0" borderId="0" xfId="0" applyFont="1" applyBorder="1" applyAlignment="1"/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Fill="1" applyAlignment="1"/>
    <xf numFmtId="17" fontId="32" fillId="0" borderId="0" xfId="0" applyNumberFormat="1" applyFont="1" applyFill="1" applyBorder="1" applyAlignment="1" applyProtection="1">
      <alignment vertical="center"/>
      <protection locked="0"/>
    </xf>
    <xf numFmtId="3" fontId="3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8" applyFont="1" applyFill="1" applyAlignment="1">
      <alignment vertical="center"/>
    </xf>
    <xf numFmtId="0" fontId="31" fillId="0" borderId="0" xfId="9" applyFont="1" applyAlignment="1">
      <alignment vertical="center"/>
    </xf>
    <xf numFmtId="0" fontId="31" fillId="0" borderId="0" xfId="14" applyFont="1" applyAlignment="1">
      <alignment horizontal="center" vertical="center" wrapText="1"/>
    </xf>
    <xf numFmtId="0" fontId="31" fillId="0" borderId="0" xfId="14" applyFont="1" applyBorder="1" applyAlignment="1">
      <alignment vertical="center"/>
    </xf>
    <xf numFmtId="167" fontId="35" fillId="0" borderId="0" xfId="4" applyFont="1" applyAlignment="1">
      <alignment vertical="center"/>
    </xf>
    <xf numFmtId="0" fontId="36" fillId="0" borderId="0" xfId="13" applyFont="1" applyAlignment="1">
      <alignment horizontal="center"/>
    </xf>
    <xf numFmtId="167" fontId="35" fillId="0" borderId="0" xfId="13" applyNumberFormat="1" applyFont="1" applyAlignment="1">
      <alignment horizontal="center" vertical="center"/>
    </xf>
    <xf numFmtId="0" fontId="38" fillId="0" borderId="0" xfId="0" applyFont="1" applyAlignment="1"/>
    <xf numFmtId="0" fontId="39" fillId="0" borderId="0" xfId="8" applyFont="1" applyFill="1" applyBorder="1" applyAlignment="1">
      <alignment horizontal="center" vertical="center"/>
    </xf>
    <xf numFmtId="0" fontId="40" fillId="0" borderId="0" xfId="8" applyFont="1" applyFill="1" applyAlignment="1">
      <alignment vertical="center"/>
    </xf>
    <xf numFmtId="0" fontId="41" fillId="0" borderId="0" xfId="8" applyFont="1" applyFill="1" applyAlignment="1">
      <alignment vertical="center"/>
    </xf>
    <xf numFmtId="0" fontId="37" fillId="0" borderId="0" xfId="14" applyFont="1" applyAlignment="1">
      <alignment vertical="center"/>
    </xf>
    <xf numFmtId="0" fontId="37" fillId="0" borderId="0" xfId="14" applyFont="1" applyFill="1" applyAlignment="1">
      <alignment vertical="center"/>
    </xf>
    <xf numFmtId="0" fontId="37" fillId="0" borderId="0" xfId="14" applyFont="1" applyFill="1" applyAlignment="1">
      <alignment horizontal="center" vertical="center"/>
    </xf>
    <xf numFmtId="0" fontId="39" fillId="0" borderId="0" xfId="14" applyFont="1" applyAlignment="1">
      <alignment horizontal="center" vertical="center" wrapText="1"/>
    </xf>
    <xf numFmtId="167" fontId="41" fillId="0" borderId="0" xfId="4" applyFont="1" applyAlignment="1">
      <alignment horizontal="center" vertical="center" wrapText="1"/>
    </xf>
    <xf numFmtId="167" fontId="41" fillId="0" borderId="0" xfId="4" applyFont="1" applyAlignment="1">
      <alignment vertical="center"/>
    </xf>
    <xf numFmtId="167" fontId="41" fillId="0" borderId="0" xfId="4" applyFont="1" applyBorder="1" applyAlignment="1">
      <alignment vertical="center"/>
    </xf>
    <xf numFmtId="0" fontId="42" fillId="0" borderId="0" xfId="14" applyFont="1" applyAlignment="1">
      <alignment vertical="center"/>
    </xf>
    <xf numFmtId="0" fontId="42" fillId="0" borderId="0" xfId="14" applyFont="1" applyFill="1" applyAlignment="1">
      <alignment vertical="center"/>
    </xf>
    <xf numFmtId="0" fontId="42" fillId="0" borderId="0" xfId="14" applyFont="1" applyFill="1" applyAlignment="1">
      <alignment horizontal="center" vertical="center"/>
    </xf>
    <xf numFmtId="0" fontId="41" fillId="0" borderId="0" xfId="14" applyFont="1" applyAlignment="1">
      <alignment vertical="center"/>
    </xf>
    <xf numFmtId="1" fontId="41" fillId="0" borderId="3" xfId="6" applyNumberFormat="1" applyFont="1" applyFill="1" applyBorder="1" applyAlignment="1">
      <alignment horizontal="center" vertical="center" wrapText="1"/>
    </xf>
    <xf numFmtId="172" fontId="41" fillId="0" borderId="3" xfId="6" applyNumberFormat="1" applyFont="1" applyFill="1" applyBorder="1" applyAlignment="1">
      <alignment horizontal="center" vertical="center" wrapText="1"/>
    </xf>
    <xf numFmtId="165" fontId="41" fillId="0" borderId="4" xfId="6" applyFont="1" applyFill="1" applyBorder="1" applyAlignment="1">
      <alignment horizontal="center" vertical="center" wrapText="1"/>
    </xf>
    <xf numFmtId="165" fontId="41" fillId="0" borderId="3" xfId="6" applyFont="1" applyFill="1" applyBorder="1" applyAlignment="1">
      <alignment horizontal="center" vertical="center" wrapText="1"/>
    </xf>
    <xf numFmtId="0" fontId="41" fillId="0" borderId="0" xfId="14" applyFont="1" applyFill="1" applyAlignment="1">
      <alignment vertical="center"/>
    </xf>
    <xf numFmtId="0" fontId="41" fillId="0" borderId="0" xfId="14" applyFont="1" applyFill="1" applyAlignment="1">
      <alignment horizontal="center" vertical="center"/>
    </xf>
    <xf numFmtId="0" fontId="41" fillId="0" borderId="3" xfId="9" applyFont="1" applyFill="1" applyBorder="1" applyAlignment="1">
      <alignment vertical="center" wrapText="1"/>
    </xf>
    <xf numFmtId="0" fontId="41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0" fontId="40" fillId="0" borderId="0" xfId="8" applyFont="1" applyAlignment="1">
      <alignment vertical="center"/>
    </xf>
    <xf numFmtId="0" fontId="41" fillId="0" borderId="0" xfId="8" quotePrefix="1" applyFont="1" applyAlignment="1">
      <alignment horizontal="justify" vertical="center" wrapText="1"/>
    </xf>
    <xf numFmtId="0" fontId="43" fillId="0" borderId="0" xfId="8" quotePrefix="1" applyFont="1" applyAlignment="1">
      <alignment horizontal="left" vertical="center"/>
    </xf>
    <xf numFmtId="0" fontId="44" fillId="0" borderId="0" xfId="8" applyFont="1" applyFill="1" applyBorder="1" applyAlignment="1">
      <alignment horizontal="center" vertical="center"/>
    </xf>
    <xf numFmtId="0" fontId="45" fillId="0" borderId="0" xfId="8" applyFont="1"/>
    <xf numFmtId="0" fontId="41" fillId="0" borderId="0" xfId="8" applyFont="1" applyFill="1"/>
    <xf numFmtId="0" fontId="41" fillId="0" borderId="0" xfId="0" applyFont="1" applyFill="1" applyAlignment="1">
      <alignment horizontal="left" indent="1"/>
    </xf>
    <xf numFmtId="0" fontId="41" fillId="0" borderId="0" xfId="8" applyNumberFormat="1" applyFont="1" applyFill="1" applyAlignment="1">
      <alignment horizontal="left" vertical="center"/>
    </xf>
    <xf numFmtId="0" fontId="41" fillId="0" borderId="0" xfId="8" applyFont="1" applyAlignment="1" applyProtection="1">
      <alignment horizontal="left" vertical="center"/>
      <protection hidden="1"/>
    </xf>
    <xf numFmtId="0" fontId="41" fillId="0" borderId="0" xfId="8" applyFont="1"/>
    <xf numFmtId="0" fontId="46" fillId="0" borderId="0" xfId="8" applyFont="1" applyAlignment="1"/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39" fillId="0" borderId="0" xfId="8" applyFont="1" applyBorder="1" applyAlignment="1">
      <alignment horizontal="left" vertical="center"/>
    </xf>
    <xf numFmtId="0" fontId="39" fillId="0" borderId="0" xfId="8" applyFont="1" applyBorder="1" applyAlignment="1">
      <alignment horizontal="center" vertical="center"/>
    </xf>
    <xf numFmtId="0" fontId="48" fillId="0" borderId="0" xfId="13" applyFont="1" applyAlignment="1">
      <alignment vertical="center"/>
    </xf>
    <xf numFmtId="0" fontId="39" fillId="0" borderId="0" xfId="8" applyFont="1" applyBorder="1" applyAlignment="1">
      <alignment vertical="center"/>
    </xf>
    <xf numFmtId="0" fontId="40" fillId="0" borderId="0" xfId="8" applyFont="1" applyBorder="1" applyAlignment="1">
      <alignment vertical="center"/>
    </xf>
    <xf numFmtId="167" fontId="40" fillId="0" borderId="0" xfId="5" applyFont="1" applyBorder="1" applyAlignment="1">
      <alignment horizontal="center" vertical="center"/>
    </xf>
    <xf numFmtId="167" fontId="39" fillId="0" borderId="0" xfId="5" applyFont="1" applyBorder="1" applyAlignment="1">
      <alignment horizontal="center" vertical="center"/>
    </xf>
    <xf numFmtId="3" fontId="41" fillId="0" borderId="5" xfId="8" quotePrefix="1" applyNumberFormat="1" applyFont="1" applyBorder="1" applyAlignment="1">
      <alignment horizontal="center" vertical="center"/>
    </xf>
    <xf numFmtId="0" fontId="41" fillId="0" borderId="0" xfId="8" applyFont="1" applyBorder="1" applyAlignment="1">
      <alignment vertical="center"/>
    </xf>
    <xf numFmtId="0" fontId="49" fillId="0" borderId="0" xfId="13" applyFont="1" applyAlignment="1">
      <alignment vertical="center"/>
    </xf>
    <xf numFmtId="0" fontId="41" fillId="0" borderId="6" xfId="8" applyFont="1" applyBorder="1" applyAlignment="1">
      <alignment vertical="center"/>
    </xf>
    <xf numFmtId="14" fontId="41" fillId="0" borderId="5" xfId="8" applyNumberFormat="1" applyFont="1" applyBorder="1" applyAlignment="1">
      <alignment horizontal="center" vertical="center"/>
    </xf>
    <xf numFmtId="172" fontId="41" fillId="0" borderId="5" xfId="8" applyNumberFormat="1" applyFont="1" applyBorder="1" applyAlignment="1">
      <alignment horizontal="center" vertical="center"/>
    </xf>
    <xf numFmtId="1" fontId="41" fillId="0" borderId="0" xfId="8" applyNumberFormat="1" applyFont="1" applyBorder="1" applyAlignment="1">
      <alignment horizontal="center" vertical="center"/>
    </xf>
    <xf numFmtId="17" fontId="41" fillId="0" borderId="5" xfId="8" quotePrefix="1" applyNumberFormat="1" applyFont="1" applyBorder="1" applyAlignment="1">
      <alignment horizontal="center" vertical="center"/>
    </xf>
    <xf numFmtId="17" fontId="41" fillId="0" borderId="0" xfId="8" quotePrefix="1" applyNumberFormat="1" applyFont="1" applyBorder="1" applyAlignment="1">
      <alignment vertical="center"/>
    </xf>
    <xf numFmtId="20" fontId="41" fillId="0" borderId="0" xfId="8" applyNumberFormat="1" applyFont="1" applyBorder="1" applyAlignment="1">
      <alignment horizontal="center" vertical="center"/>
    </xf>
    <xf numFmtId="0" fontId="41" fillId="0" borderId="0" xfId="8" applyFont="1" applyBorder="1" applyAlignment="1">
      <alignment horizontal="center" vertical="center"/>
    </xf>
    <xf numFmtId="20" fontId="41" fillId="0" borderId="5" xfId="8" applyNumberFormat="1" applyFont="1" applyBorder="1" applyAlignment="1">
      <alignment horizontal="center" vertical="center"/>
    </xf>
    <xf numFmtId="20" fontId="41" fillId="0" borderId="0" xfId="8" applyNumberFormat="1" applyFont="1" applyBorder="1" applyAlignment="1">
      <alignment vertical="center"/>
    </xf>
    <xf numFmtId="0" fontId="50" fillId="4" borderId="5" xfId="8" applyFont="1" applyFill="1" applyBorder="1" applyAlignment="1">
      <alignment horizontal="left" vertical="center"/>
    </xf>
    <xf numFmtId="0" fontId="41" fillId="0" borderId="0" xfId="8" applyFont="1" applyFill="1" applyBorder="1" applyAlignment="1">
      <alignment vertical="center"/>
    </xf>
    <xf numFmtId="0" fontId="41" fillId="0" borderId="7" xfId="8" applyFont="1" applyBorder="1" applyAlignment="1">
      <alignment vertical="center"/>
    </xf>
    <xf numFmtId="0" fontId="41" fillId="0" borderId="5" xfId="8" applyFont="1" applyBorder="1" applyAlignment="1">
      <alignment horizontal="center" vertical="center"/>
    </xf>
    <xf numFmtId="0" fontId="41" fillId="0" borderId="8" xfId="8" applyFont="1" applyBorder="1" applyAlignment="1">
      <alignment vertical="center"/>
    </xf>
    <xf numFmtId="172" fontId="41" fillId="0" borderId="0" xfId="8" applyNumberFormat="1" applyFont="1" applyBorder="1" applyAlignment="1">
      <alignment horizontal="center" vertical="center"/>
    </xf>
    <xf numFmtId="0" fontId="41" fillId="0" borderId="9" xfId="8" applyFont="1" applyBorder="1" applyAlignment="1">
      <alignment vertical="center"/>
    </xf>
    <xf numFmtId="0" fontId="41" fillId="0" borderId="10" xfId="8" applyFont="1" applyBorder="1" applyAlignment="1">
      <alignment vertical="center"/>
    </xf>
    <xf numFmtId="0" fontId="50" fillId="0" borderId="5" xfId="8" applyFont="1" applyBorder="1" applyAlignment="1">
      <alignment vertical="center"/>
    </xf>
    <xf numFmtId="2" fontId="39" fillId="0" borderId="0" xfId="8" applyNumberFormat="1" applyFont="1" applyBorder="1" applyAlignment="1">
      <alignment horizontal="center" vertical="center"/>
    </xf>
    <xf numFmtId="2" fontId="39" fillId="0" borderId="0" xfId="8" applyNumberFormat="1" applyFont="1" applyFill="1" applyBorder="1" applyAlignment="1">
      <alignment horizontal="center" vertical="center"/>
    </xf>
    <xf numFmtId="0" fontId="41" fillId="0" borderId="11" xfId="8" applyFont="1" applyBorder="1" applyAlignment="1">
      <alignment vertical="center"/>
    </xf>
    <xf numFmtId="0" fontId="41" fillId="0" borderId="12" xfId="8" applyFont="1" applyBorder="1" applyAlignment="1">
      <alignment horizontal="right" vertical="center" shrinkToFit="1"/>
    </xf>
    <xf numFmtId="167" fontId="50" fillId="4" borderId="13" xfId="4" applyFont="1" applyFill="1" applyBorder="1" applyAlignment="1">
      <alignment horizontal="left" vertical="center" shrinkToFit="1"/>
    </xf>
    <xf numFmtId="0" fontId="41" fillId="0" borderId="5" xfId="8" applyFont="1" applyBorder="1" applyAlignment="1">
      <alignment vertical="center"/>
    </xf>
    <xf numFmtId="0" fontId="50" fillId="0" borderId="0" xfId="13" applyFont="1" applyAlignment="1">
      <alignment horizontal="right" vertical="center"/>
    </xf>
    <xf numFmtId="0" fontId="48" fillId="0" borderId="0" xfId="13" applyFont="1" applyAlignment="1">
      <alignment horizontal="right" vertical="center"/>
    </xf>
    <xf numFmtId="39" fontId="41" fillId="0" borderId="9" xfId="6" applyNumberFormat="1" applyFont="1" applyBorder="1" applyAlignment="1">
      <alignment vertical="center"/>
    </xf>
    <xf numFmtId="0" fontId="41" fillId="0" borderId="14" xfId="8" applyFont="1" applyBorder="1" applyAlignment="1">
      <alignment vertical="center"/>
    </xf>
    <xf numFmtId="0" fontId="51" fillId="0" borderId="11" xfId="8" applyFont="1" applyBorder="1" applyAlignment="1">
      <alignment vertical="center"/>
    </xf>
    <xf numFmtId="0" fontId="50" fillId="0" borderId="0" xfId="8" applyFont="1" applyBorder="1" applyAlignment="1">
      <alignment vertical="center"/>
    </xf>
    <xf numFmtId="0" fontId="48" fillId="0" borderId="0" xfId="13" applyFont="1" applyBorder="1" applyAlignment="1">
      <alignment vertical="center"/>
    </xf>
    <xf numFmtId="0" fontId="41" fillId="0" borderId="0" xfId="8" applyFont="1" applyBorder="1" applyAlignment="1">
      <alignment horizontal="right" vertical="center"/>
    </xf>
    <xf numFmtId="167" fontId="50" fillId="0" borderId="0" xfId="4" applyFont="1" applyFill="1" applyBorder="1" applyAlignment="1">
      <alignment horizontal="left" vertical="center"/>
    </xf>
    <xf numFmtId="171" fontId="50" fillId="0" borderId="0" xfId="6" applyNumberFormat="1" applyFont="1" applyBorder="1" applyAlignment="1">
      <alignment horizontal="left" vertical="center"/>
    </xf>
    <xf numFmtId="39" fontId="41" fillId="0" borderId="15" xfId="6" applyNumberFormat="1" applyFont="1" applyBorder="1" applyAlignment="1">
      <alignment vertical="center"/>
    </xf>
    <xf numFmtId="0" fontId="41" fillId="0" borderId="16" xfId="8" applyFont="1" applyBorder="1" applyAlignment="1">
      <alignment vertical="center"/>
    </xf>
    <xf numFmtId="37" fontId="40" fillId="0" borderId="0" xfId="6" applyNumberFormat="1" applyFont="1" applyBorder="1" applyAlignment="1">
      <alignment vertical="center"/>
    </xf>
    <xf numFmtId="37" fontId="46" fillId="0" borderId="0" xfId="6" applyNumberFormat="1" applyFont="1" applyBorder="1" applyAlignment="1">
      <alignment vertical="center"/>
    </xf>
    <xf numFmtId="0" fontId="46" fillId="0" borderId="0" xfId="8" applyFont="1" applyBorder="1" applyAlignment="1">
      <alignment vertical="center"/>
    </xf>
    <xf numFmtId="0" fontId="48" fillId="0" borderId="8" xfId="13" applyFont="1" applyBorder="1" applyAlignment="1">
      <alignment vertical="center"/>
    </xf>
    <xf numFmtId="165" fontId="41" fillId="0" borderId="17" xfId="6" applyFont="1" applyBorder="1" applyAlignment="1">
      <alignment horizontal="right" vertical="center"/>
    </xf>
    <xf numFmtId="167" fontId="41" fillId="0" borderId="18" xfId="4" applyFont="1" applyBorder="1" applyAlignment="1">
      <alignment vertical="center"/>
    </xf>
    <xf numFmtId="165" fontId="41" fillId="0" borderId="19" xfId="6" applyFont="1" applyBorder="1" applyAlignment="1">
      <alignment horizontal="right" vertical="center"/>
    </xf>
    <xf numFmtId="167" fontId="41" fillId="0" borderId="20" xfId="4" applyFont="1" applyBorder="1" applyAlignment="1">
      <alignment vertical="center"/>
    </xf>
    <xf numFmtId="0" fontId="39" fillId="0" borderId="8" xfId="8" applyFont="1" applyBorder="1" applyAlignment="1">
      <alignment vertical="center"/>
    </xf>
    <xf numFmtId="0" fontId="40" fillId="0" borderId="0" xfId="8" applyFont="1" applyAlignment="1">
      <alignment horizontal="left" vertical="center"/>
    </xf>
    <xf numFmtId="2" fontId="39" fillId="0" borderId="0" xfId="8" applyNumberFormat="1" applyFont="1" applyFill="1" applyBorder="1" applyAlignment="1">
      <alignment vertical="center"/>
    </xf>
    <xf numFmtId="0" fontId="51" fillId="0" borderId="21" xfId="8" applyFont="1" applyBorder="1" applyAlignment="1">
      <alignment vertical="center"/>
    </xf>
    <xf numFmtId="0" fontId="50" fillId="0" borderId="5" xfId="6" applyNumberFormat="1" applyFont="1" applyBorder="1" applyAlignment="1">
      <alignment vertical="center"/>
    </xf>
    <xf numFmtId="0" fontId="50" fillId="0" borderId="0" xfId="6" applyNumberFormat="1" applyFont="1" applyBorder="1" applyAlignment="1">
      <alignment vertical="center"/>
    </xf>
    <xf numFmtId="0" fontId="51" fillId="0" borderId="5" xfId="8" applyFont="1" applyBorder="1" applyAlignment="1">
      <alignment vertical="center"/>
    </xf>
    <xf numFmtId="10" fontId="41" fillId="0" borderId="22" xfId="18" applyNumberFormat="1" applyFont="1" applyFill="1" applyBorder="1" applyAlignment="1">
      <alignment vertical="center"/>
    </xf>
    <xf numFmtId="0" fontId="39" fillId="0" borderId="23" xfId="8" applyFont="1" applyBorder="1" applyAlignment="1">
      <alignment horizontal="center" vertical="center" shrinkToFit="1"/>
    </xf>
    <xf numFmtId="0" fontId="50" fillId="0" borderId="0" xfId="6" applyNumberFormat="1" applyFont="1" applyBorder="1" applyAlignment="1">
      <alignment horizontal="center" vertical="center"/>
    </xf>
    <xf numFmtId="165" fontId="50" fillId="0" borderId="0" xfId="6" applyFont="1" applyBorder="1" applyAlignment="1">
      <alignment vertical="center"/>
    </xf>
    <xf numFmtId="0" fontId="50" fillId="0" borderId="0" xfId="6" applyNumberFormat="1" applyFont="1" applyBorder="1" applyAlignment="1">
      <alignment horizontal="left" vertical="center"/>
    </xf>
    <xf numFmtId="0" fontId="51" fillId="0" borderId="9" xfId="8" applyFont="1" applyBorder="1" applyAlignment="1">
      <alignment vertical="center"/>
    </xf>
    <xf numFmtId="0" fontId="51" fillId="0" borderId="24" xfId="8" applyFont="1" applyBorder="1" applyAlignment="1">
      <alignment vertical="center"/>
    </xf>
    <xf numFmtId="0" fontId="41" fillId="0" borderId="25" xfId="8" applyFont="1" applyBorder="1" applyAlignment="1">
      <alignment vertical="center"/>
    </xf>
    <xf numFmtId="0" fontId="51" fillId="0" borderId="26" xfId="8" applyFont="1" applyBorder="1" applyAlignment="1">
      <alignment vertical="center"/>
    </xf>
    <xf numFmtId="165" fontId="41" fillId="0" borderId="22" xfId="6" applyFont="1" applyFill="1" applyBorder="1" applyAlignment="1">
      <alignment vertical="center"/>
    </xf>
    <xf numFmtId="174" fontId="41" fillId="0" borderId="0" xfId="6" applyNumberFormat="1" applyFont="1" applyFill="1" applyBorder="1" applyAlignment="1">
      <alignment vertical="center"/>
    </xf>
    <xf numFmtId="165" fontId="41" fillId="0" borderId="0" xfId="6" applyFont="1" applyFill="1" applyBorder="1" applyAlignment="1">
      <alignment vertical="center"/>
    </xf>
    <xf numFmtId="165" fontId="41" fillId="0" borderId="27" xfId="6" applyFont="1" applyFill="1" applyBorder="1" applyAlignment="1">
      <alignment vertical="center"/>
    </xf>
    <xf numFmtId="0" fontId="50" fillId="0" borderId="28" xfId="8" applyFont="1" applyBorder="1" applyAlignment="1">
      <alignment horizontal="right" vertical="center"/>
    </xf>
    <xf numFmtId="165" fontId="41" fillId="0" borderId="29" xfId="6" applyFont="1" applyFill="1" applyBorder="1" applyAlignment="1">
      <alignment vertical="center" shrinkToFit="1"/>
    </xf>
    <xf numFmtId="0" fontId="41" fillId="0" borderId="11" xfId="8" applyFont="1" applyBorder="1" applyAlignment="1">
      <alignment horizontal="left" vertical="center"/>
    </xf>
    <xf numFmtId="0" fontId="50" fillId="0" borderId="6" xfId="8" applyFont="1" applyBorder="1" applyAlignment="1">
      <alignment horizontal="left" vertical="center"/>
    </xf>
    <xf numFmtId="0" fontId="50" fillId="0" borderId="19" xfId="8" applyFont="1" applyBorder="1" applyAlignment="1">
      <alignment horizontal="right" vertical="center"/>
    </xf>
    <xf numFmtId="165" fontId="41" fillId="0" borderId="30" xfId="6" applyFont="1" applyFill="1" applyBorder="1" applyAlignment="1">
      <alignment vertical="center" shrinkToFit="1"/>
    </xf>
    <xf numFmtId="0" fontId="41" fillId="0" borderId="31" xfId="8" applyFont="1" applyBorder="1" applyAlignment="1">
      <alignment vertical="center"/>
    </xf>
    <xf numFmtId="0" fontId="41" fillId="0" borderId="32" xfId="8" applyFont="1" applyBorder="1" applyAlignment="1">
      <alignment vertical="center"/>
    </xf>
    <xf numFmtId="165" fontId="41" fillId="0" borderId="33" xfId="6" applyFont="1" applyBorder="1" applyAlignment="1">
      <alignment vertical="center"/>
    </xf>
    <xf numFmtId="174" fontId="50" fillId="0" borderId="0" xfId="4" applyNumberFormat="1" applyFont="1" applyBorder="1" applyAlignment="1">
      <alignment horizontal="left" vertical="center"/>
    </xf>
    <xf numFmtId="10" fontId="41" fillId="0" borderId="0" xfId="8" applyNumberFormat="1" applyFont="1" applyBorder="1" applyAlignment="1">
      <alignment vertical="center"/>
    </xf>
    <xf numFmtId="0" fontId="41" fillId="0" borderId="0" xfId="19" applyNumberFormat="1" applyFont="1" applyBorder="1" applyAlignment="1">
      <alignment vertical="center"/>
    </xf>
    <xf numFmtId="0" fontId="51" fillId="0" borderId="0" xfId="8" applyFont="1" applyBorder="1" applyAlignment="1">
      <alignment vertical="center"/>
    </xf>
    <xf numFmtId="10" fontId="41" fillId="0" borderId="0" xfId="19" applyNumberFormat="1" applyFont="1" applyBorder="1" applyAlignment="1">
      <alignment vertical="center"/>
    </xf>
    <xf numFmtId="0" fontId="52" fillId="0" borderId="0" xfId="8" applyFont="1" applyBorder="1" applyAlignment="1">
      <alignment vertical="center"/>
    </xf>
    <xf numFmtId="0" fontId="40" fillId="0" borderId="0" xfId="8" applyFont="1" applyAlignment="1">
      <alignment horizontal="left" vertical="center" wrapText="1"/>
    </xf>
    <xf numFmtId="2" fontId="50" fillId="0" borderId="34" xfId="8" applyNumberFormat="1" applyFont="1" applyBorder="1" applyAlignment="1">
      <alignment horizontal="right" vertical="center"/>
    </xf>
    <xf numFmtId="165" fontId="41" fillId="0" borderId="34" xfId="6" applyFont="1" applyBorder="1" applyAlignment="1">
      <alignment vertical="center"/>
    </xf>
    <xf numFmtId="167" fontId="50" fillId="0" borderId="0" xfId="5" applyFont="1" applyBorder="1" applyAlignment="1">
      <alignment vertical="center"/>
    </xf>
    <xf numFmtId="2" fontId="50" fillId="0" borderId="35" xfId="8" applyNumberFormat="1" applyFont="1" applyBorder="1" applyAlignment="1">
      <alignment horizontal="right" vertical="center"/>
    </xf>
    <xf numFmtId="165" fontId="41" fillId="0" borderId="35" xfId="6" applyFont="1" applyBorder="1" applyAlignment="1">
      <alignment vertical="center"/>
    </xf>
    <xf numFmtId="167" fontId="50" fillId="0" borderId="0" xfId="4" applyFont="1" applyBorder="1" applyAlignment="1">
      <alignment vertical="center"/>
    </xf>
    <xf numFmtId="2" fontId="40" fillId="0" borderId="36" xfId="8" applyNumberFormat="1" applyFont="1" applyBorder="1" applyAlignment="1">
      <alignment horizontal="center" vertical="center"/>
    </xf>
    <xf numFmtId="165" fontId="41" fillId="0" borderId="36" xfId="6" applyFont="1" applyBorder="1" applyAlignment="1">
      <alignment vertical="center"/>
    </xf>
    <xf numFmtId="10" fontId="40" fillId="0" borderId="0" xfId="8" applyNumberFormat="1" applyFont="1" applyBorder="1" applyAlignment="1">
      <alignment horizontal="right" vertical="center"/>
    </xf>
    <xf numFmtId="167" fontId="40" fillId="0" borderId="0" xfId="4" applyFont="1" applyBorder="1" applyAlignment="1">
      <alignment vertical="center"/>
    </xf>
    <xf numFmtId="0" fontId="51" fillId="0" borderId="19" xfId="8" applyFont="1" applyFill="1" applyBorder="1" applyAlignment="1">
      <alignment vertical="center"/>
    </xf>
    <xf numFmtId="10" fontId="40" fillId="0" borderId="16" xfId="8" applyNumberFormat="1" applyFont="1" applyBorder="1" applyAlignment="1">
      <alignment horizontal="center" vertical="center"/>
    </xf>
    <xf numFmtId="165" fontId="41" fillId="0" borderId="16" xfId="6" applyFont="1" applyBorder="1" applyAlignment="1">
      <alignment vertical="center"/>
    </xf>
    <xf numFmtId="0" fontId="40" fillId="0" borderId="0" xfId="8" applyFont="1" applyBorder="1" applyAlignment="1">
      <alignment horizontal="center" vertical="center"/>
    </xf>
    <xf numFmtId="167" fontId="41" fillId="0" borderId="0" xfId="8" applyNumberFormat="1" applyFont="1" applyBorder="1" applyAlignment="1">
      <alignment vertical="center"/>
    </xf>
    <xf numFmtId="10" fontId="41" fillId="0" borderId="9" xfId="19" applyNumberFormat="1" applyFont="1" applyFill="1" applyBorder="1" applyAlignment="1">
      <alignment horizontal="center" vertical="center"/>
    </xf>
    <xf numFmtId="10" fontId="41" fillId="0" borderId="37" xfId="19" applyNumberFormat="1" applyFont="1" applyFill="1" applyBorder="1" applyAlignment="1">
      <alignment horizontal="center" vertical="center"/>
    </xf>
    <xf numFmtId="10" fontId="50" fillId="0" borderId="0" xfId="19" applyNumberFormat="1" applyFont="1" applyFill="1" applyBorder="1" applyAlignment="1">
      <alignment horizontal="center" vertical="center"/>
    </xf>
    <xf numFmtId="167" fontId="50" fillId="0" borderId="0" xfId="19" applyNumberFormat="1" applyFont="1" applyFill="1" applyBorder="1" applyAlignment="1">
      <alignment horizontal="center" vertical="center"/>
    </xf>
    <xf numFmtId="0" fontId="41" fillId="0" borderId="38" xfId="8" applyFont="1" applyBorder="1" applyAlignment="1">
      <alignment vertical="center"/>
    </xf>
    <xf numFmtId="10" fontId="41" fillId="0" borderId="15" xfId="19" applyNumberFormat="1" applyFont="1" applyFill="1" applyBorder="1" applyAlignment="1">
      <alignment horizontal="center" vertical="center"/>
    </xf>
    <xf numFmtId="165" fontId="48" fillId="0" borderId="0" xfId="13" applyNumberFormat="1" applyFont="1" applyAlignment="1">
      <alignment vertical="center"/>
    </xf>
    <xf numFmtId="0" fontId="50" fillId="0" borderId="0" xfId="13" applyFont="1" applyAlignment="1">
      <alignment horizontal="center" vertical="center"/>
    </xf>
    <xf numFmtId="0" fontId="48" fillId="0" borderId="0" xfId="13" applyFont="1" applyFill="1" applyAlignment="1">
      <alignment vertical="center"/>
    </xf>
    <xf numFmtId="0" fontId="48" fillId="0" borderId="0" xfId="13" applyFont="1" applyFill="1" applyBorder="1" applyAlignment="1">
      <alignment vertical="center"/>
    </xf>
    <xf numFmtId="0" fontId="39" fillId="0" borderId="0" xfId="8" applyFont="1" applyFill="1" applyBorder="1" applyAlignment="1">
      <alignment vertical="center"/>
    </xf>
    <xf numFmtId="0" fontId="39" fillId="5" borderId="17" xfId="8" applyFont="1" applyFill="1" applyBorder="1" applyAlignment="1">
      <alignment horizontal="right" vertical="center" shrinkToFit="1"/>
    </xf>
    <xf numFmtId="165" fontId="39" fillId="0" borderId="0" xfId="6" applyFont="1" applyFill="1" applyBorder="1" applyAlignment="1">
      <alignment vertical="center"/>
    </xf>
    <xf numFmtId="0" fontId="39" fillId="0" borderId="0" xfId="8" applyFont="1" applyFill="1" applyBorder="1" applyAlignment="1">
      <alignment horizontal="right" vertical="center"/>
    </xf>
    <xf numFmtId="0" fontId="39" fillId="5" borderId="17" xfId="8" applyFont="1" applyFill="1" applyBorder="1" applyAlignment="1">
      <alignment horizontal="right" vertical="center"/>
    </xf>
    <xf numFmtId="0" fontId="39" fillId="5" borderId="19" xfId="8" applyFont="1" applyFill="1" applyBorder="1" applyAlignment="1">
      <alignment horizontal="right" vertical="center" shrinkToFit="1"/>
    </xf>
    <xf numFmtId="0" fontId="39" fillId="5" borderId="19" xfId="8" applyFont="1" applyFill="1" applyBorder="1" applyAlignment="1">
      <alignment horizontal="right" vertical="center"/>
    </xf>
    <xf numFmtId="165" fontId="39" fillId="0" borderId="0" xfId="6" applyFont="1" applyBorder="1" applyAlignment="1">
      <alignment vertical="center"/>
    </xf>
    <xf numFmtId="165" fontId="40" fillId="0" borderId="0" xfId="6" applyFont="1" applyFill="1" applyBorder="1" applyAlignment="1">
      <alignment vertical="center" wrapText="1"/>
    </xf>
    <xf numFmtId="165" fontId="39" fillId="0" borderId="39" xfId="6" applyFont="1" applyFill="1" applyBorder="1" applyAlignment="1">
      <alignment horizontal="center" vertical="center" shrinkToFit="1"/>
    </xf>
    <xf numFmtId="168" fontId="39" fillId="0" borderId="40" xfId="8" applyNumberFormat="1" applyFont="1" applyFill="1" applyBorder="1" applyAlignment="1">
      <alignment horizontal="center" vertical="center"/>
    </xf>
    <xf numFmtId="0" fontId="39" fillId="0" borderId="0" xfId="8" applyFont="1" applyAlignment="1">
      <alignment horizontal="left"/>
    </xf>
    <xf numFmtId="0" fontId="39" fillId="0" borderId="0" xfId="8" applyFont="1" applyAlignment="1">
      <alignment horizontal="center" vertical="center"/>
    </xf>
    <xf numFmtId="0" fontId="39" fillId="0" borderId="41" xfId="8" applyFont="1" applyBorder="1" applyAlignment="1">
      <alignment horizontal="center" vertical="center" wrapText="1"/>
    </xf>
    <xf numFmtId="0" fontId="39" fillId="0" borderId="13" xfId="8" applyFont="1" applyBorder="1" applyAlignment="1">
      <alignment horizontal="center" vertical="center" wrapText="1"/>
    </xf>
    <xf numFmtId="0" fontId="41" fillId="0" borderId="9" xfId="8" applyNumberFormat="1" applyFont="1" applyBorder="1" applyAlignment="1">
      <alignment horizontal="left" vertical="center"/>
    </xf>
    <xf numFmtId="0" fontId="39" fillId="0" borderId="0" xfId="8" applyFont="1" applyAlignment="1">
      <alignment horizontal="center" vertical="center" wrapText="1"/>
    </xf>
    <xf numFmtId="0" fontId="41" fillId="0" borderId="0" xfId="8" applyFont="1" applyAlignment="1">
      <alignment vertical="center" wrapText="1"/>
    </xf>
    <xf numFmtId="0" fontId="5" fillId="0" borderId="0" xfId="8" applyFont="1" applyAlignment="1">
      <alignment vertical="center" wrapText="1"/>
    </xf>
    <xf numFmtId="0" fontId="41" fillId="0" borderId="26" xfId="8" applyFont="1" applyFill="1" applyBorder="1" applyAlignment="1">
      <alignment vertical="center"/>
    </xf>
    <xf numFmtId="0" fontId="41" fillId="0" borderId="42" xfId="8" applyFont="1" applyFill="1" applyBorder="1" applyAlignment="1">
      <alignment vertical="center"/>
    </xf>
    <xf numFmtId="172" fontId="41" fillId="0" borderId="43" xfId="6" applyNumberFormat="1" applyFont="1" applyFill="1" applyBorder="1" applyAlignment="1">
      <alignment horizontal="center" vertical="center" wrapText="1"/>
    </xf>
    <xf numFmtId="165" fontId="41" fillId="0" borderId="36" xfId="6" applyFont="1" applyFill="1" applyBorder="1" applyAlignment="1">
      <alignment horizontal="center" vertical="center" wrapText="1"/>
    </xf>
    <xf numFmtId="0" fontId="41" fillId="0" borderId="11" xfId="8" applyNumberFormat="1" applyFont="1" applyBorder="1" applyAlignment="1">
      <alignment horizontal="left" vertical="center" wrapText="1"/>
    </xf>
    <xf numFmtId="0" fontId="41" fillId="0" borderId="6" xfId="8" applyFont="1" applyBorder="1" applyAlignment="1">
      <alignment vertical="center" wrapText="1"/>
    </xf>
    <xf numFmtId="10" fontId="41" fillId="0" borderId="44" xfId="28" applyNumberFormat="1" applyFont="1" applyBorder="1" applyAlignment="1">
      <alignment horizontal="center" vertical="center" wrapText="1"/>
    </xf>
    <xf numFmtId="0" fontId="41" fillId="0" borderId="4" xfId="8" applyFont="1" applyFill="1" applyBorder="1" applyAlignment="1">
      <alignment vertical="center"/>
    </xf>
    <xf numFmtId="0" fontId="41" fillId="0" borderId="5" xfId="8" applyNumberFormat="1" applyFont="1" applyBorder="1" applyAlignment="1">
      <alignment horizontal="left" vertical="center" wrapText="1"/>
    </xf>
    <xf numFmtId="0" fontId="41" fillId="0" borderId="0" xfId="8" applyFont="1" applyBorder="1" applyAlignment="1">
      <alignment vertical="center" wrapText="1"/>
    </xf>
    <xf numFmtId="10" fontId="41" fillId="0" borderId="45" xfId="28" applyNumberFormat="1" applyFont="1" applyBorder="1" applyAlignment="1">
      <alignment horizontal="center" vertical="center" wrapText="1"/>
    </xf>
    <xf numFmtId="10" fontId="39" fillId="0" borderId="20" xfId="8" applyNumberFormat="1" applyFont="1" applyBorder="1" applyAlignment="1">
      <alignment horizontal="center" vertical="center" wrapText="1"/>
    </xf>
    <xf numFmtId="172" fontId="39" fillId="0" borderId="41" xfId="8" applyNumberFormat="1" applyFont="1" applyFill="1" applyBorder="1" applyAlignment="1">
      <alignment horizontal="center" vertical="center" wrapText="1"/>
    </xf>
    <xf numFmtId="172" fontId="39" fillId="0" borderId="41" xfId="8" quotePrefix="1" applyNumberFormat="1" applyFont="1" applyFill="1" applyBorder="1" applyAlignment="1">
      <alignment horizontal="center" vertical="center" wrapText="1"/>
    </xf>
    <xf numFmtId="165" fontId="39" fillId="0" borderId="13" xfId="6" quotePrefix="1" applyFont="1" applyFill="1" applyBorder="1" applyAlignment="1">
      <alignment horizontal="center" vertical="center" wrapText="1"/>
    </xf>
    <xf numFmtId="10" fontId="39" fillId="0" borderId="0" xfId="8" applyNumberFormat="1" applyFont="1" applyAlignment="1">
      <alignment horizontal="center" vertical="center" wrapText="1"/>
    </xf>
    <xf numFmtId="0" fontId="5" fillId="0" borderId="0" xfId="8" applyFont="1" applyAlignment="1">
      <alignment vertical="center"/>
    </xf>
    <xf numFmtId="0" fontId="50" fillId="0" borderId="0" xfId="0" quotePrefix="1" applyFont="1" applyBorder="1" applyAlignment="1">
      <alignment vertical="center"/>
    </xf>
    <xf numFmtId="2" fontId="39" fillId="0" borderId="28" xfId="0" applyNumberFormat="1" applyFont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172" fontId="41" fillId="2" borderId="46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14" fontId="39" fillId="0" borderId="47" xfId="8" applyNumberFormat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53" fillId="0" borderId="0" xfId="0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3" fillId="0" borderId="0" xfId="8" applyFont="1" applyBorder="1" applyAlignment="1">
      <alignment vertical="center"/>
    </xf>
    <xf numFmtId="2" fontId="39" fillId="2" borderId="46" xfId="0" applyNumberFormat="1" applyFont="1" applyFill="1" applyBorder="1" applyAlignment="1">
      <alignment horizontal="center" vertical="center"/>
    </xf>
    <xf numFmtId="172" fontId="41" fillId="0" borderId="4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54" fillId="0" borderId="0" xfId="8" applyFont="1" applyBorder="1" applyAlignment="1">
      <alignment vertical="center"/>
    </xf>
    <xf numFmtId="0" fontId="50" fillId="0" borderId="0" xfId="8" quotePrefix="1" applyFont="1" applyAlignment="1">
      <alignment horizontal="left" vertical="center"/>
    </xf>
    <xf numFmtId="2" fontId="39" fillId="0" borderId="46" xfId="0" applyNumberFormat="1" applyFont="1" applyFill="1" applyBorder="1" applyAlignment="1">
      <alignment horizontal="center" vertical="center"/>
    </xf>
    <xf numFmtId="0" fontId="41" fillId="0" borderId="46" xfId="9" applyFont="1" applyFill="1" applyBorder="1" applyAlignment="1">
      <alignment horizontal="center" vertical="center"/>
    </xf>
    <xf numFmtId="0" fontId="39" fillId="0" borderId="0" xfId="9" applyFont="1" applyBorder="1" applyAlignment="1">
      <alignment vertical="center"/>
    </xf>
    <xf numFmtId="10" fontId="50" fillId="0" borderId="0" xfId="0" applyNumberFormat="1" applyFont="1" applyAlignment="1">
      <alignment vertical="center"/>
    </xf>
    <xf numFmtId="0" fontId="53" fillId="0" borderId="0" xfId="8" applyFont="1" applyAlignment="1">
      <alignment vertical="center"/>
    </xf>
    <xf numFmtId="0" fontId="50" fillId="0" borderId="0" xfId="0" applyFont="1" applyFill="1" applyBorder="1" applyAlignment="1">
      <alignment vertical="center"/>
    </xf>
    <xf numFmtId="0" fontId="39" fillId="0" borderId="0" xfId="8" quotePrefix="1" applyFont="1" applyBorder="1" applyAlignment="1">
      <alignment vertical="center"/>
    </xf>
    <xf numFmtId="0" fontId="41" fillId="2" borderId="46" xfId="9" applyFont="1" applyFill="1" applyBorder="1" applyAlignment="1">
      <alignment horizontal="center" vertical="center"/>
    </xf>
    <xf numFmtId="0" fontId="39" fillId="0" borderId="0" xfId="8" quotePrefix="1" applyFont="1" applyBorder="1" applyAlignment="1">
      <alignment horizontal="left" vertical="center"/>
    </xf>
    <xf numFmtId="0" fontId="41" fillId="0" borderId="46" xfId="9" applyFont="1" applyBorder="1" applyAlignment="1">
      <alignment horizontal="center" vertical="center"/>
    </xf>
    <xf numFmtId="10" fontId="50" fillId="0" borderId="0" xfId="0" applyNumberFormat="1" applyFont="1" applyFill="1" applyBorder="1" applyAlignment="1">
      <alignment vertical="center"/>
    </xf>
    <xf numFmtId="0" fontId="41" fillId="0" borderId="0" xfId="8" applyFont="1" applyBorder="1" applyAlignment="1">
      <alignment horizontal="left" vertical="center"/>
    </xf>
    <xf numFmtId="0" fontId="30" fillId="0" borderId="11" xfId="8" applyFont="1" applyBorder="1" applyAlignment="1">
      <alignment vertical="center"/>
    </xf>
    <xf numFmtId="0" fontId="30" fillId="0" borderId="9" xfId="8" applyFont="1" applyBorder="1" applyAlignment="1">
      <alignment vertical="center"/>
    </xf>
    <xf numFmtId="0" fontId="55" fillId="0" borderId="11" xfId="8" applyFont="1" applyBorder="1" applyAlignment="1">
      <alignment vertical="center"/>
    </xf>
    <xf numFmtId="0" fontId="56" fillId="0" borderId="38" xfId="13" applyFont="1" applyBorder="1" applyAlignment="1">
      <alignment vertical="center"/>
    </xf>
    <xf numFmtId="0" fontId="57" fillId="0" borderId="9" xfId="8" applyFont="1" applyBorder="1" applyAlignment="1">
      <alignment horizontal="left" vertical="center"/>
    </xf>
    <xf numFmtId="0" fontId="57" fillId="0" borderId="11" xfId="8" applyFont="1" applyBorder="1" applyAlignment="1">
      <alignment vertical="center"/>
    </xf>
    <xf numFmtId="0" fontId="57" fillId="0" borderId="11" xfId="8" applyFont="1" applyBorder="1" applyAlignment="1">
      <alignment horizontal="left" vertical="center"/>
    </xf>
    <xf numFmtId="0" fontId="57" fillId="0" borderId="26" xfId="8" applyFont="1" applyBorder="1" applyAlignment="1">
      <alignment horizontal="left" vertical="center"/>
    </xf>
    <xf numFmtId="0" fontId="57" fillId="0" borderId="38" xfId="8" applyFont="1" applyBorder="1" applyAlignment="1">
      <alignment horizontal="left" vertical="center"/>
    </xf>
    <xf numFmtId="0" fontId="39" fillId="0" borderId="0" xfId="8" applyFont="1" applyBorder="1" applyAlignment="1">
      <alignment horizontal="center" vertical="center" wrapText="1"/>
    </xf>
    <xf numFmtId="0" fontId="57" fillId="0" borderId="10" xfId="8" applyFont="1" applyBorder="1" applyAlignment="1">
      <alignment horizontal="center" vertical="center" wrapText="1"/>
    </xf>
    <xf numFmtId="0" fontId="30" fillId="0" borderId="6" xfId="8" applyFont="1" applyBorder="1" applyAlignment="1">
      <alignment vertical="center" wrapText="1"/>
    </xf>
    <xf numFmtId="0" fontId="57" fillId="0" borderId="6" xfId="8" applyFont="1" applyBorder="1" applyAlignment="1">
      <alignment horizontal="left" vertical="center" wrapText="1"/>
    </xf>
    <xf numFmtId="0" fontId="30" fillId="0" borderId="7" xfId="8" applyFont="1" applyBorder="1" applyAlignment="1">
      <alignment vertical="center" wrapText="1"/>
    </xf>
    <xf numFmtId="0" fontId="30" fillId="0" borderId="8" xfId="8" applyFont="1" applyBorder="1" applyAlignment="1">
      <alignment vertical="center" wrapText="1"/>
    </xf>
    <xf numFmtId="0" fontId="39" fillId="0" borderId="0" xfId="8" applyFont="1" applyFill="1" applyBorder="1" applyAlignment="1">
      <alignment horizontal="center" vertical="center" wrapText="1"/>
    </xf>
    <xf numFmtId="0" fontId="30" fillId="0" borderId="10" xfId="8" applyFont="1" applyBorder="1" applyAlignment="1">
      <alignment vertical="center" wrapText="1"/>
    </xf>
    <xf numFmtId="0" fontId="56" fillId="0" borderId="8" xfId="13" applyFont="1" applyBorder="1" applyAlignment="1">
      <alignment vertical="center" wrapText="1"/>
    </xf>
    <xf numFmtId="0" fontId="41" fillId="0" borderId="8" xfId="8" applyFont="1" applyBorder="1" applyAlignment="1">
      <alignment vertical="center" wrapText="1"/>
    </xf>
    <xf numFmtId="0" fontId="41" fillId="0" borderId="48" xfId="8" applyFont="1" applyBorder="1" applyAlignment="1">
      <alignment vertical="center" wrapText="1"/>
    </xf>
    <xf numFmtId="0" fontId="41" fillId="0" borderId="10" xfId="8" applyFont="1" applyBorder="1" applyAlignment="1">
      <alignment vertical="center" wrapText="1"/>
    </xf>
    <xf numFmtId="0" fontId="41" fillId="0" borderId="25" xfId="8" applyFont="1" applyBorder="1" applyAlignment="1">
      <alignment vertical="center" wrapText="1"/>
    </xf>
    <xf numFmtId="0" fontId="41" fillId="0" borderId="7" xfId="8" applyFont="1" applyBorder="1" applyAlignment="1">
      <alignment vertical="center" wrapText="1"/>
    </xf>
    <xf numFmtId="0" fontId="41" fillId="0" borderId="6" xfId="8" applyFont="1" applyBorder="1" applyAlignment="1">
      <alignment horizontal="left" vertical="center" wrapText="1"/>
    </xf>
    <xf numFmtId="165" fontId="41" fillId="0" borderId="32" xfId="6" applyFont="1" applyBorder="1" applyAlignment="1">
      <alignment vertical="center" wrapText="1"/>
    </xf>
    <xf numFmtId="9" fontId="41" fillId="0" borderId="49" xfId="19" applyFont="1" applyBorder="1" applyAlignment="1">
      <alignment vertical="center" wrapText="1"/>
    </xf>
    <xf numFmtId="0" fontId="48" fillId="0" borderId="0" xfId="13" applyFont="1" applyAlignment="1">
      <alignment vertical="center" wrapText="1"/>
    </xf>
    <xf numFmtId="0" fontId="48" fillId="0" borderId="0" xfId="13" applyFont="1" applyFill="1" applyAlignment="1">
      <alignment vertical="center" wrapText="1"/>
    </xf>
    <xf numFmtId="165" fontId="39" fillId="0" borderId="18" xfId="6" applyFont="1" applyFill="1" applyBorder="1" applyAlignment="1">
      <alignment vertical="center" wrapText="1"/>
    </xf>
    <xf numFmtId="165" fontId="39" fillId="0" borderId="20" xfId="6" applyFont="1" applyFill="1" applyBorder="1" applyAlignment="1">
      <alignment vertical="center" wrapText="1"/>
    </xf>
    <xf numFmtId="165" fontId="40" fillId="0" borderId="0" xfId="6" applyFont="1" applyBorder="1" applyAlignment="1">
      <alignment horizontal="left" vertical="center" wrapText="1"/>
    </xf>
    <xf numFmtId="165" fontId="39" fillId="0" borderId="0" xfId="6" applyFont="1" applyBorder="1" applyAlignment="1">
      <alignment horizontal="left" vertical="center" wrapText="1"/>
    </xf>
    <xf numFmtId="0" fontId="41" fillId="2" borderId="3" xfId="9" applyFont="1" applyFill="1" applyBorder="1" applyAlignment="1">
      <alignment vertical="center" wrapText="1"/>
    </xf>
    <xf numFmtId="0" fontId="41" fillId="0" borderId="3" xfId="0" applyFont="1" applyFill="1" applyBorder="1" applyAlignment="1">
      <alignment vertical="center" wrapText="1"/>
    </xf>
    <xf numFmtId="0" fontId="41" fillId="2" borderId="3" xfId="0" applyFont="1" applyFill="1" applyBorder="1" applyAlignment="1">
      <alignment vertical="center" wrapText="1"/>
    </xf>
    <xf numFmtId="0" fontId="34" fillId="0" borderId="0" xfId="13" applyFont="1" applyAlignment="1">
      <alignment vertical="center" wrapText="1"/>
    </xf>
    <xf numFmtId="0" fontId="39" fillId="0" borderId="0" xfId="8" applyFont="1" applyBorder="1" applyAlignment="1">
      <alignment vertical="center" wrapText="1"/>
    </xf>
    <xf numFmtId="14" fontId="41" fillId="0" borderId="0" xfId="8" applyNumberFormat="1" applyFont="1" applyBorder="1" applyAlignment="1">
      <alignment vertical="center" wrapText="1"/>
    </xf>
    <xf numFmtId="172" fontId="41" fillId="0" borderId="0" xfId="8" applyNumberFormat="1" applyFont="1" applyBorder="1" applyAlignment="1">
      <alignment horizontal="center" vertical="center" wrapText="1"/>
    </xf>
    <xf numFmtId="0" fontId="56" fillId="0" borderId="14" xfId="13" applyFont="1" applyBorder="1" applyAlignment="1">
      <alignment vertical="center" wrapText="1"/>
    </xf>
    <xf numFmtId="10" fontId="50" fillId="0" borderId="37" xfId="8" applyNumberFormat="1" applyFont="1" applyBorder="1" applyAlignment="1">
      <alignment horizontal="center" vertical="center" wrapText="1"/>
    </xf>
    <xf numFmtId="0" fontId="56" fillId="0" borderId="35" xfId="13" applyFont="1" applyBorder="1" applyAlignment="1">
      <alignment vertical="center" wrapText="1"/>
    </xf>
    <xf numFmtId="10" fontId="41" fillId="0" borderId="50" xfId="8" applyNumberFormat="1" applyFont="1" applyBorder="1" applyAlignment="1">
      <alignment horizontal="center" vertical="center" wrapText="1"/>
    </xf>
    <xf numFmtId="10" fontId="41" fillId="0" borderId="33" xfId="19" applyNumberFormat="1" applyFont="1" applyBorder="1" applyAlignment="1">
      <alignment horizontal="center" vertical="center" wrapText="1"/>
    </xf>
    <xf numFmtId="10" fontId="41" fillId="0" borderId="27" xfId="19" applyNumberFormat="1" applyFont="1" applyBorder="1" applyAlignment="1">
      <alignment horizontal="center" vertical="center" wrapText="1"/>
    </xf>
    <xf numFmtId="0" fontId="48" fillId="0" borderId="51" xfId="13" applyFont="1" applyBorder="1" applyAlignment="1">
      <alignment horizontal="center" vertical="center" wrapText="1"/>
    </xf>
    <xf numFmtId="0" fontId="48" fillId="0" borderId="48" xfId="13" applyFont="1" applyBorder="1" applyAlignment="1">
      <alignment vertical="center" wrapText="1"/>
    </xf>
    <xf numFmtId="0" fontId="48" fillId="0" borderId="4" xfId="13" applyFont="1" applyBorder="1" applyAlignment="1">
      <alignment vertical="center" wrapText="1"/>
    </xf>
    <xf numFmtId="0" fontId="41" fillId="0" borderId="10" xfId="8" applyFont="1" applyBorder="1" applyAlignment="1">
      <alignment horizontal="right" vertical="center" wrapText="1"/>
    </xf>
    <xf numFmtId="0" fontId="41" fillId="0" borderId="25" xfId="8" applyFont="1" applyBorder="1" applyAlignment="1">
      <alignment horizontal="right" vertical="center" wrapText="1"/>
    </xf>
    <xf numFmtId="0" fontId="41" fillId="0" borderId="32" xfId="8" applyFont="1" applyBorder="1" applyAlignment="1">
      <alignment vertical="center" wrapText="1"/>
    </xf>
    <xf numFmtId="2" fontId="40" fillId="0" borderId="23" xfId="8" applyNumberFormat="1" applyFont="1" applyBorder="1" applyAlignment="1">
      <alignment horizontal="center" vertical="center" wrapText="1"/>
    </xf>
    <xf numFmtId="2" fontId="40" fillId="0" borderId="27" xfId="8" applyNumberFormat="1" applyFont="1" applyBorder="1" applyAlignment="1">
      <alignment horizontal="center" vertical="center" wrapText="1"/>
    </xf>
    <xf numFmtId="2" fontId="40" fillId="0" borderId="22" xfId="8" applyNumberFormat="1" applyFont="1" applyBorder="1" applyAlignment="1">
      <alignment horizontal="center" vertical="center" wrapText="1"/>
    </xf>
    <xf numFmtId="0" fontId="41" fillId="0" borderId="16" xfId="8" applyFont="1" applyBorder="1" applyAlignment="1">
      <alignment vertical="center" wrapText="1"/>
    </xf>
    <xf numFmtId="10" fontId="40" fillId="0" borderId="51" xfId="8" applyNumberFormat="1" applyFont="1" applyBorder="1" applyAlignment="1">
      <alignment horizontal="center" vertical="center" wrapText="1"/>
    </xf>
    <xf numFmtId="0" fontId="48" fillId="0" borderId="10" xfId="13" applyFont="1" applyBorder="1" applyAlignment="1">
      <alignment vertical="center" wrapText="1"/>
    </xf>
    <xf numFmtId="10" fontId="50" fillId="0" borderId="10" xfId="19" applyNumberFormat="1" applyFont="1" applyFill="1" applyBorder="1" applyAlignment="1">
      <alignment horizontal="center" vertical="center" wrapText="1"/>
    </xf>
    <xf numFmtId="0" fontId="48" fillId="0" borderId="8" xfId="13" applyFont="1" applyBorder="1" applyAlignment="1">
      <alignment vertical="center" wrapText="1"/>
    </xf>
    <xf numFmtId="10" fontId="50" fillId="0" borderId="8" xfId="19" applyNumberFormat="1" applyFont="1" applyFill="1" applyBorder="1" applyAlignment="1">
      <alignment horizontal="center" vertical="center" wrapText="1"/>
    </xf>
    <xf numFmtId="0" fontId="50" fillId="0" borderId="0" xfId="13" applyFont="1" applyAlignment="1">
      <alignment horizontal="right" vertical="center" wrapText="1"/>
    </xf>
    <xf numFmtId="0" fontId="48" fillId="0" borderId="0" xfId="13" applyFont="1" applyFill="1" applyBorder="1" applyAlignment="1">
      <alignment vertical="center" wrapText="1"/>
    </xf>
    <xf numFmtId="0" fontId="39" fillId="0" borderId="0" xfId="8" applyFont="1" applyFill="1" applyBorder="1" applyAlignment="1">
      <alignment vertical="center" wrapText="1"/>
    </xf>
    <xf numFmtId="165" fontId="39" fillId="0" borderId="0" xfId="6" applyFont="1" applyFill="1" applyBorder="1" applyAlignment="1">
      <alignment vertical="center" wrapText="1"/>
    </xf>
    <xf numFmtId="165" fontId="39" fillId="0" borderId="0" xfId="6" applyFont="1" applyBorder="1" applyAlignment="1">
      <alignment vertical="center" wrapText="1"/>
    </xf>
    <xf numFmtId="10" fontId="41" fillId="0" borderId="47" xfId="28" applyNumberFormat="1" applyFont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0" fontId="41" fillId="2" borderId="44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0" fontId="50" fillId="2" borderId="44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10" fontId="39" fillId="2" borderId="44" xfId="0" applyNumberFormat="1" applyFont="1" applyFill="1" applyBorder="1" applyAlignment="1">
      <alignment horizontal="center" vertical="center" wrapText="1"/>
    </xf>
    <xf numFmtId="10" fontId="50" fillId="0" borderId="44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10" fontId="39" fillId="0" borderId="44" xfId="0" applyNumberFormat="1" applyFont="1" applyFill="1" applyBorder="1" applyAlignment="1">
      <alignment horizontal="center" vertical="center" wrapText="1"/>
    </xf>
    <xf numFmtId="10" fontId="41" fillId="0" borderId="44" xfId="0" applyNumberFormat="1" applyFont="1" applyFill="1" applyBorder="1" applyAlignment="1">
      <alignment horizontal="center" vertical="center" wrapText="1"/>
    </xf>
    <xf numFmtId="10" fontId="41" fillId="0" borderId="52" xfId="19" applyNumberFormat="1" applyFont="1" applyFill="1" applyBorder="1" applyAlignment="1">
      <alignment horizontal="center" vertical="center" wrapText="1"/>
    </xf>
    <xf numFmtId="10" fontId="41" fillId="0" borderId="44" xfId="19" applyNumberFormat="1" applyFont="1" applyFill="1" applyBorder="1" applyAlignment="1">
      <alignment horizontal="center" vertical="center" wrapText="1"/>
    </xf>
    <xf numFmtId="10" fontId="50" fillId="0" borderId="52" xfId="19" applyNumberFormat="1" applyFont="1" applyFill="1" applyBorder="1" applyAlignment="1">
      <alignment horizontal="center" vertical="center" wrapText="1"/>
    </xf>
    <xf numFmtId="10" fontId="50" fillId="0" borderId="44" xfId="19" applyNumberFormat="1" applyFont="1" applyFill="1" applyBorder="1" applyAlignment="1">
      <alignment horizontal="center" vertical="center" wrapText="1"/>
    </xf>
    <xf numFmtId="10" fontId="41" fillId="4" borderId="44" xfId="19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10" fontId="41" fillId="2" borderId="44" xfId="19" applyNumberFormat="1" applyFont="1" applyFill="1" applyBorder="1" applyAlignment="1">
      <alignment horizontal="center" vertical="center" wrapText="1"/>
    </xf>
    <xf numFmtId="10" fontId="39" fillId="2" borderId="44" xfId="19" applyNumberFormat="1" applyFont="1" applyFill="1" applyBorder="1" applyAlignment="1">
      <alignment horizontal="center" vertical="center" wrapText="1"/>
    </xf>
    <xf numFmtId="10" fontId="41" fillId="0" borderId="44" xfId="19" applyNumberFormat="1" applyFont="1" applyBorder="1" applyAlignment="1">
      <alignment horizontal="center" vertical="center" wrapText="1"/>
    </xf>
    <xf numFmtId="10" fontId="39" fillId="0" borderId="44" xfId="0" applyNumberFormat="1" applyFont="1" applyBorder="1" applyAlignment="1">
      <alignment horizontal="center" vertical="center" wrapText="1"/>
    </xf>
    <xf numFmtId="10" fontId="39" fillId="0" borderId="20" xfId="0" applyNumberFormat="1" applyFont="1" applyBorder="1" applyAlignment="1">
      <alignment horizontal="center" vertical="center" wrapText="1"/>
    </xf>
    <xf numFmtId="10" fontId="50" fillId="0" borderId="0" xfId="0" applyNumberFormat="1" applyFont="1" applyFill="1" applyBorder="1" applyAlignment="1">
      <alignment vertical="center" wrapText="1"/>
    </xf>
    <xf numFmtId="0" fontId="39" fillId="0" borderId="0" xfId="8" applyFont="1" applyAlignment="1">
      <alignment vertical="center" wrapText="1"/>
    </xf>
    <xf numFmtId="0" fontId="39" fillId="0" borderId="0" xfId="9" applyFont="1" applyBorder="1" applyAlignment="1">
      <alignment vertical="center" wrapText="1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horizontal="justify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quotePrefix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172" fontId="22" fillId="0" borderId="3" xfId="1" applyNumberFormat="1" applyFont="1" applyFill="1" applyBorder="1" applyAlignment="1">
      <alignment horizontal="center" vertical="center"/>
    </xf>
    <xf numFmtId="167" fontId="22" fillId="0" borderId="3" xfId="1" applyNumberFormat="1" applyFont="1" applyFill="1" applyBorder="1" applyAlignment="1">
      <alignment horizontal="center" vertical="center"/>
    </xf>
    <xf numFmtId="165" fontId="22" fillId="0" borderId="3" xfId="1" applyNumberFormat="1" applyFont="1" applyFill="1" applyBorder="1" applyAlignment="1">
      <alignment vertical="center"/>
    </xf>
    <xf numFmtId="172" fontId="21" fillId="5" borderId="3" xfId="1" applyNumberFormat="1" applyFont="1" applyFill="1" applyBorder="1" applyAlignment="1">
      <alignment horizontal="center" vertical="center"/>
    </xf>
    <xf numFmtId="167" fontId="21" fillId="5" borderId="3" xfId="1" quotePrefix="1" applyNumberFormat="1" applyFont="1" applyFill="1" applyBorder="1" applyAlignment="1">
      <alignment horizontal="center" vertical="center"/>
    </xf>
    <xf numFmtId="167" fontId="21" fillId="5" borderId="3" xfId="1" applyNumberFormat="1" applyFont="1" applyFill="1" applyBorder="1" applyAlignment="1">
      <alignment horizontal="center" vertical="center"/>
    </xf>
    <xf numFmtId="165" fontId="21" fillId="5" borderId="3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Alignment="1">
      <alignment horizontal="justify" vertical="center" wrapText="1"/>
    </xf>
    <xf numFmtId="0" fontId="22" fillId="0" borderId="0" xfId="1" applyFont="1" applyFill="1"/>
    <xf numFmtId="0" fontId="22" fillId="0" borderId="0" xfId="1" applyFont="1" applyFill="1" applyAlignment="1"/>
    <xf numFmtId="0" fontId="22" fillId="0" borderId="0" xfId="1" applyFont="1" applyFill="1" applyAlignment="1">
      <alignment horizontal="right" vertical="center"/>
    </xf>
    <xf numFmtId="0" fontId="22" fillId="0" borderId="0" xfId="1" applyFont="1" applyFill="1" applyAlignment="1" applyProtection="1">
      <alignment vertical="center"/>
    </xf>
    <xf numFmtId="0" fontId="21" fillId="0" borderId="0" xfId="1" applyFont="1" applyFill="1" applyAlignment="1">
      <alignment horizontal="right" vertical="center" wrapText="1"/>
    </xf>
    <xf numFmtId="173" fontId="22" fillId="0" borderId="0" xfId="1" applyNumberFormat="1" applyFont="1" applyFill="1" applyAlignment="1">
      <alignment horizontal="center" vertical="center"/>
    </xf>
    <xf numFmtId="0" fontId="22" fillId="0" borderId="0" xfId="10" applyFont="1" applyFill="1" applyAlignment="1">
      <alignment vertical="center"/>
    </xf>
    <xf numFmtId="0" fontId="50" fillId="6" borderId="0" xfId="8" applyFont="1" applyFill="1" applyAlignment="1">
      <alignment vertical="center" wrapText="1"/>
    </xf>
    <xf numFmtId="14" fontId="50" fillId="6" borderId="20" xfId="8" applyNumberFormat="1" applyFont="1" applyFill="1" applyBorder="1" applyAlignment="1">
      <alignment horizontal="center" vertical="center"/>
    </xf>
    <xf numFmtId="172" fontId="50" fillId="6" borderId="43" xfId="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4" fillId="0" borderId="0" xfId="14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3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 wrapText="1"/>
    </xf>
    <xf numFmtId="172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3" xfId="0" applyFont="1" applyFill="1" applyBorder="1" applyAlignment="1">
      <alignment horizontal="center" vertical="center" wrapText="1"/>
    </xf>
    <xf numFmtId="0" fontId="60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10" fontId="31" fillId="0" borderId="3" xfId="0" applyNumberFormat="1" applyFont="1" applyFill="1" applyBorder="1" applyAlignment="1">
      <alignment horizontal="center" vertical="center"/>
    </xf>
    <xf numFmtId="167" fontId="32" fillId="0" borderId="3" xfId="0" applyNumberFormat="1" applyFont="1" applyFill="1" applyBorder="1" applyAlignment="1" applyProtection="1">
      <alignment horizontal="left" vertical="center"/>
    </xf>
    <xf numFmtId="167" fontId="31" fillId="0" borderId="3" xfId="0" applyNumberFormat="1" applyFont="1" applyFill="1" applyBorder="1" applyAlignment="1" applyProtection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167" fontId="31" fillId="0" borderId="3" xfId="0" applyNumberFormat="1" applyFont="1" applyFill="1" applyBorder="1" applyAlignment="1" applyProtection="1">
      <alignment horizontal="left" vertical="center"/>
      <protection locked="0"/>
    </xf>
    <xf numFmtId="10" fontId="59" fillId="0" borderId="3" xfId="0" applyNumberFormat="1" applyFont="1" applyFill="1" applyBorder="1" applyAlignment="1">
      <alignment horizontal="center" vertical="center"/>
    </xf>
    <xf numFmtId="166" fontId="59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>
      <alignment horizontal="left" vertical="center"/>
    </xf>
    <xf numFmtId="167" fontId="61" fillId="7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horizontal="center" vertical="center" wrapText="1"/>
    </xf>
    <xf numFmtId="167" fontId="31" fillId="0" borderId="3" xfId="0" applyNumberFormat="1" applyFont="1" applyFill="1" applyBorder="1" applyAlignment="1">
      <alignment horizontal="center" vertical="center" wrapText="1"/>
    </xf>
    <xf numFmtId="167" fontId="59" fillId="0" borderId="3" xfId="4" applyFont="1" applyFill="1" applyBorder="1" applyAlignment="1">
      <alignment horizontal="center" vertical="center"/>
    </xf>
    <xf numFmtId="167" fontId="31" fillId="0" borderId="3" xfId="0" applyNumberFormat="1" applyFont="1" applyFill="1" applyBorder="1" applyAlignment="1" applyProtection="1">
      <alignment horizontal="center" vertical="center"/>
      <protection locked="0"/>
    </xf>
    <xf numFmtId="10" fontId="31" fillId="0" borderId="3" xfId="0" applyNumberFormat="1" applyFont="1" applyFill="1" applyBorder="1" applyAlignment="1" applyProtection="1">
      <alignment horizontal="center" vertical="center"/>
    </xf>
    <xf numFmtId="167" fontId="31" fillId="0" borderId="3" xfId="0" applyNumberFormat="1" applyFont="1" applyFill="1" applyBorder="1" applyAlignment="1">
      <alignment horizontal="center" vertical="center"/>
    </xf>
    <xf numFmtId="167" fontId="31" fillId="8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vertical="center"/>
      <protection locked="0"/>
    </xf>
    <xf numFmtId="167" fontId="32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/>
    </xf>
    <xf numFmtId="167" fontId="32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10" fontId="31" fillId="0" borderId="3" xfId="0" applyNumberFormat="1" applyFont="1" applyFill="1" applyBorder="1" applyAlignment="1" applyProtection="1">
      <alignment horizontal="center" vertical="center" wrapText="1"/>
    </xf>
    <xf numFmtId="10" fontId="32" fillId="0" borderId="3" xfId="0" applyNumberFormat="1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10" fontId="31" fillId="8" borderId="3" xfId="0" applyNumberFormat="1" applyFont="1" applyFill="1" applyBorder="1" applyAlignment="1" applyProtection="1">
      <alignment horizontal="center" vertical="center" wrapText="1"/>
    </xf>
    <xf numFmtId="0" fontId="47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right" vertical="center"/>
    </xf>
    <xf numFmtId="167" fontId="31" fillId="0" borderId="3" xfId="4" applyFont="1" applyFill="1" applyBorder="1" applyAlignment="1">
      <alignment horizontal="center" vertical="center" wrapText="1"/>
    </xf>
    <xf numFmtId="167" fontId="32" fillId="0" borderId="3" xfId="4" applyFont="1" applyFill="1" applyBorder="1" applyAlignment="1">
      <alignment horizontal="center" vertical="center" wrapText="1"/>
    </xf>
    <xf numFmtId="169" fontId="31" fillId="0" borderId="3" xfId="0" applyNumberFormat="1" applyFont="1" applyFill="1" applyBorder="1" applyAlignment="1">
      <alignment horizontal="center" vertical="center" wrapText="1"/>
    </xf>
    <xf numFmtId="167" fontId="63" fillId="7" borderId="3" xfId="0" applyNumberFormat="1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167" fontId="32" fillId="9" borderId="3" xfId="0" applyNumberFormat="1" applyFont="1" applyFill="1" applyBorder="1" applyAlignment="1">
      <alignment horizontal="left" vertical="center"/>
    </xf>
    <xf numFmtId="0" fontId="31" fillId="7" borderId="3" xfId="0" applyFont="1" applyFill="1" applyBorder="1" applyAlignment="1">
      <alignment horizontal="center" vertical="center" wrapText="1"/>
    </xf>
    <xf numFmtId="172" fontId="31" fillId="7" borderId="3" xfId="0" applyNumberFormat="1" applyFont="1" applyFill="1" applyBorder="1" applyAlignment="1" applyProtection="1">
      <alignment horizontal="center" vertical="center" wrapText="1"/>
      <protection locked="0"/>
    </xf>
    <xf numFmtId="167" fontId="32" fillId="7" borderId="3" xfId="0" applyNumberFormat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wrapText="1"/>
    </xf>
    <xf numFmtId="172" fontId="64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/>
    <xf numFmtId="168" fontId="31" fillId="0" borderId="0" xfId="0" applyNumberFormat="1" applyFont="1" applyAlignment="1">
      <alignment horizontal="justify" vertical="center"/>
    </xf>
    <xf numFmtId="170" fontId="31" fillId="0" borderId="0" xfId="0" applyNumberFormat="1" applyFont="1" applyAlignment="1">
      <alignment vertical="center"/>
    </xf>
    <xf numFmtId="167" fontId="32" fillId="0" borderId="3" xfId="0" applyNumberFormat="1" applyFont="1" applyFill="1" applyBorder="1" applyAlignment="1">
      <alignment horizontal="right" vertical="center"/>
    </xf>
    <xf numFmtId="0" fontId="39" fillId="0" borderId="0" xfId="14" applyFont="1" applyFill="1" applyBorder="1" applyAlignment="1">
      <alignment horizontal="center" vertical="center"/>
    </xf>
    <xf numFmtId="0" fontId="57" fillId="0" borderId="3" xfId="14" applyFont="1" applyFill="1" applyBorder="1" applyAlignment="1">
      <alignment horizontal="center" vertical="center" wrapText="1"/>
    </xf>
    <xf numFmtId="1" fontId="30" fillId="0" borderId="3" xfId="6" applyNumberFormat="1" applyFont="1" applyFill="1" applyBorder="1" applyAlignment="1">
      <alignment horizontal="center" vertical="center" wrapText="1"/>
    </xf>
    <xf numFmtId="172" fontId="30" fillId="0" borderId="3" xfId="6" applyNumberFormat="1" applyFont="1" applyFill="1" applyBorder="1" applyAlignment="1">
      <alignment horizontal="center" vertical="center" wrapText="1"/>
    </xf>
    <xf numFmtId="165" fontId="30" fillId="0" borderId="4" xfId="6" applyFont="1" applyFill="1" applyBorder="1" applyAlignment="1">
      <alignment horizontal="center" vertical="center" wrapText="1"/>
    </xf>
    <xf numFmtId="165" fontId="30" fillId="0" borderId="3" xfId="6" applyFont="1" applyFill="1" applyBorder="1" applyAlignment="1">
      <alignment horizontal="center" vertical="center" wrapText="1"/>
    </xf>
    <xf numFmtId="165" fontId="57" fillId="0" borderId="3" xfId="14" applyNumberFormat="1" applyFont="1" applyFill="1" applyBorder="1" applyAlignment="1">
      <alignment vertical="center" wrapText="1"/>
    </xf>
    <xf numFmtId="164" fontId="57" fillId="0" borderId="3" xfId="14" applyNumberFormat="1" applyFont="1" applyFill="1" applyBorder="1" applyAlignment="1">
      <alignment vertical="center" wrapText="1"/>
    </xf>
    <xf numFmtId="0" fontId="39" fillId="0" borderId="3" xfId="14" applyFont="1" applyFill="1" applyBorder="1" applyAlignment="1">
      <alignment horizontal="center" vertical="center" wrapText="1"/>
    </xf>
    <xf numFmtId="165" fontId="39" fillId="0" borderId="3" xfId="14" applyNumberFormat="1" applyFont="1" applyFill="1" applyBorder="1" applyAlignment="1">
      <alignment vertical="center" wrapText="1"/>
    </xf>
    <xf numFmtId="164" fontId="39" fillId="0" borderId="3" xfId="14" applyNumberFormat="1" applyFont="1" applyFill="1" applyBorder="1" applyAlignment="1">
      <alignment vertical="center" wrapText="1"/>
    </xf>
    <xf numFmtId="0" fontId="5" fillId="0" borderId="0" xfId="8" applyFont="1" applyFill="1" applyAlignment="1">
      <alignment vertical="center"/>
    </xf>
    <xf numFmtId="172" fontId="41" fillId="8" borderId="43" xfId="6" applyNumberFormat="1" applyFont="1" applyFill="1" applyBorder="1" applyAlignment="1">
      <alignment horizontal="center" vertical="center" wrapText="1"/>
    </xf>
    <xf numFmtId="172" fontId="40" fillId="8" borderId="41" xfId="8" applyNumberFormat="1" applyFont="1" applyFill="1" applyBorder="1" applyAlignment="1">
      <alignment horizontal="center" vertical="center" wrapText="1"/>
    </xf>
    <xf numFmtId="0" fontId="65" fillId="0" borderId="0" xfId="14" applyFont="1" applyAlignment="1">
      <alignment horizontal="center" vertical="center" wrapText="1"/>
    </xf>
    <xf numFmtId="167" fontId="37" fillId="0" borderId="0" xfId="4" applyFont="1" applyAlignment="1">
      <alignment horizontal="center" vertical="center" wrapText="1"/>
    </xf>
    <xf numFmtId="167" fontId="37" fillId="0" borderId="0" xfId="4" applyFont="1" applyAlignment="1">
      <alignment vertical="center"/>
    </xf>
    <xf numFmtId="167" fontId="37" fillId="0" borderId="0" xfId="4" applyFont="1" applyBorder="1" applyAlignment="1">
      <alignment vertical="center"/>
    </xf>
    <xf numFmtId="0" fontId="37" fillId="0" borderId="0" xfId="14" applyFont="1" applyBorder="1" applyAlignment="1">
      <alignment vertical="center"/>
    </xf>
    <xf numFmtId="0" fontId="66" fillId="0" borderId="0" xfId="14" applyFont="1" applyAlignment="1">
      <alignment vertical="center"/>
    </xf>
    <xf numFmtId="0" fontId="67" fillId="0" borderId="0" xfId="14" applyFont="1" applyFill="1" applyAlignment="1">
      <alignment horizontal="center" vertical="center" wrapText="1"/>
    </xf>
    <xf numFmtId="0" fontId="66" fillId="0" borderId="3" xfId="14" applyFont="1" applyFill="1" applyBorder="1" applyAlignment="1">
      <alignment horizontal="center" vertical="center" wrapText="1"/>
    </xf>
    <xf numFmtId="1" fontId="66" fillId="0" borderId="3" xfId="6" applyNumberFormat="1" applyFont="1" applyFill="1" applyBorder="1" applyAlignment="1">
      <alignment horizontal="center" vertical="center" wrapText="1"/>
    </xf>
    <xf numFmtId="172" fontId="66" fillId="0" borderId="3" xfId="6" applyNumberFormat="1" applyFont="1" applyFill="1" applyBorder="1" applyAlignment="1">
      <alignment horizontal="center" vertical="center" wrapText="1"/>
    </xf>
    <xf numFmtId="172" fontId="66" fillId="0" borderId="4" xfId="6" applyNumberFormat="1" applyFont="1" applyFill="1" applyBorder="1" applyAlignment="1">
      <alignment horizontal="center" vertical="center" wrapText="1"/>
    </xf>
    <xf numFmtId="165" fontId="66" fillId="0" borderId="4" xfId="6" applyFont="1" applyFill="1" applyBorder="1" applyAlignment="1">
      <alignment horizontal="center" vertical="center" wrapText="1"/>
    </xf>
    <xf numFmtId="165" fontId="66" fillId="0" borderId="3" xfId="6" applyFont="1" applyFill="1" applyBorder="1" applyAlignment="1">
      <alignment horizontal="center" vertical="center" wrapText="1"/>
    </xf>
    <xf numFmtId="165" fontId="68" fillId="10" borderId="3" xfId="14" applyNumberFormat="1" applyFont="1" applyFill="1" applyBorder="1" applyAlignment="1">
      <alignment vertical="center" wrapText="1"/>
    </xf>
    <xf numFmtId="164" fontId="68" fillId="10" borderId="3" xfId="14" applyNumberFormat="1" applyFont="1" applyFill="1" applyBorder="1" applyAlignment="1">
      <alignment vertical="center" wrapText="1"/>
    </xf>
    <xf numFmtId="0" fontId="66" fillId="0" borderId="0" xfId="14" applyFont="1" applyFill="1" applyAlignment="1">
      <alignment vertical="center"/>
    </xf>
    <xf numFmtId="0" fontId="66" fillId="0" borderId="0" xfId="14" applyFont="1" applyFill="1" applyAlignment="1">
      <alignment horizontal="center" vertical="center"/>
    </xf>
    <xf numFmtId="0" fontId="57" fillId="0" borderId="43" xfId="8" quotePrefix="1" applyFont="1" applyFill="1" applyBorder="1" applyAlignment="1">
      <alignment horizontal="center" vertical="center" wrapText="1"/>
    </xf>
    <xf numFmtId="0" fontId="57" fillId="0" borderId="43" xfId="10" applyFont="1" applyFill="1" applyBorder="1" applyAlignment="1">
      <alignment horizontal="center" vertical="center" wrapText="1"/>
    </xf>
    <xf numFmtId="172" fontId="57" fillId="0" borderId="3" xfId="8" applyNumberFormat="1" applyFont="1" applyFill="1" applyBorder="1" applyAlignment="1">
      <alignment horizontal="center" vertical="center"/>
    </xf>
    <xf numFmtId="167" fontId="30" fillId="0" borderId="3" xfId="4" applyFont="1" applyFill="1" applyBorder="1" applyAlignment="1">
      <alignment horizontal="center" vertical="center"/>
    </xf>
    <xf numFmtId="172" fontId="30" fillId="0" borderId="3" xfId="8" applyNumberFormat="1" applyFont="1" applyFill="1" applyBorder="1" applyAlignment="1">
      <alignment horizontal="center" vertical="center"/>
    </xf>
    <xf numFmtId="165" fontId="30" fillId="0" borderId="3" xfId="6" applyFont="1" applyFill="1" applyBorder="1" applyAlignment="1">
      <alignment horizontal="center" vertical="center"/>
    </xf>
    <xf numFmtId="165" fontId="57" fillId="0" borderId="3" xfId="8" applyNumberFormat="1" applyFont="1" applyFill="1" applyBorder="1" applyAlignment="1">
      <alignment horizontal="center" vertical="center"/>
    </xf>
    <xf numFmtId="0" fontId="57" fillId="0" borderId="3" xfId="10" applyFont="1" applyFill="1" applyBorder="1" applyAlignment="1">
      <alignment horizontal="center" vertical="center" wrapText="1"/>
    </xf>
    <xf numFmtId="165" fontId="30" fillId="0" borderId="3" xfId="8" applyNumberFormat="1" applyFont="1" applyFill="1" applyBorder="1" applyAlignment="1">
      <alignment horizontal="center" vertical="center" wrapText="1"/>
    </xf>
    <xf numFmtId="172" fontId="30" fillId="0" borderId="3" xfId="8" applyNumberFormat="1" applyFont="1" applyFill="1" applyBorder="1" applyAlignment="1">
      <alignment horizontal="center" vertical="center" wrapText="1"/>
    </xf>
    <xf numFmtId="0" fontId="57" fillId="0" borderId="3" xfId="10" applyFont="1" applyFill="1" applyBorder="1" applyAlignment="1">
      <alignment horizontal="center" vertical="center"/>
    </xf>
    <xf numFmtId="172" fontId="69" fillId="8" borderId="3" xfId="8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172" fontId="32" fillId="7" borderId="54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54" xfId="0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  <protection locked="0"/>
    </xf>
    <xf numFmtId="167" fontId="61" fillId="7" borderId="54" xfId="0" applyNumberFormat="1" applyFont="1" applyFill="1" applyBorder="1" applyAlignment="1">
      <alignment horizontal="left" vertical="center"/>
    </xf>
    <xf numFmtId="167" fontId="31" fillId="0" borderId="54" xfId="0" applyNumberFormat="1" applyFont="1" applyFill="1" applyBorder="1" applyAlignment="1">
      <alignment horizontal="center" vertical="center" wrapText="1"/>
    </xf>
    <xf numFmtId="167" fontId="31" fillId="0" borderId="54" xfId="0" applyNumberFormat="1" applyFont="1" applyFill="1" applyBorder="1" applyAlignment="1" applyProtection="1">
      <alignment horizontal="center" vertical="center"/>
      <protection locked="0"/>
    </xf>
    <xf numFmtId="167" fontId="31" fillId="0" borderId="54" xfId="0" applyNumberFormat="1" applyFont="1" applyFill="1" applyBorder="1" applyAlignment="1">
      <alignment horizontal="center" vertical="center"/>
    </xf>
    <xf numFmtId="167" fontId="32" fillId="0" borderId="54" xfId="0" applyNumberFormat="1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 wrapText="1"/>
    </xf>
    <xf numFmtId="167" fontId="31" fillId="0" borderId="54" xfId="4" applyFont="1" applyFill="1" applyBorder="1" applyAlignment="1">
      <alignment horizontal="center" vertical="center"/>
    </xf>
    <xf numFmtId="167" fontId="31" fillId="0" borderId="54" xfId="4" applyFont="1" applyFill="1" applyBorder="1" applyAlignment="1">
      <alignment horizontal="right" vertical="center"/>
    </xf>
    <xf numFmtId="167" fontId="31" fillId="0" borderId="54" xfId="4" applyFont="1" applyFill="1" applyBorder="1" applyAlignment="1">
      <alignment horizontal="center" vertical="center" wrapText="1"/>
    </xf>
    <xf numFmtId="167" fontId="32" fillId="0" borderId="54" xfId="4" applyFont="1" applyFill="1" applyBorder="1" applyAlignment="1">
      <alignment horizontal="center" vertical="center" wrapText="1"/>
    </xf>
    <xf numFmtId="169" fontId="31" fillId="0" borderId="54" xfId="0" applyNumberFormat="1" applyFont="1" applyFill="1" applyBorder="1" applyAlignment="1">
      <alignment horizontal="center" vertical="center" wrapText="1"/>
    </xf>
    <xf numFmtId="167" fontId="63" fillId="7" borderId="5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7" borderId="4" xfId="0" applyFont="1" applyFill="1" applyBorder="1" applyAlignment="1">
      <alignment horizontal="center" vertical="center" wrapText="1"/>
    </xf>
    <xf numFmtId="172" fontId="3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10" fontId="31" fillId="0" borderId="4" xfId="0" applyNumberFormat="1" applyFont="1" applyFill="1" applyBorder="1" applyAlignment="1">
      <alignment horizontal="center" vertical="center"/>
    </xf>
    <xf numFmtId="10" fontId="59" fillId="0" borderId="4" xfId="0" applyNumberFormat="1" applyFont="1" applyFill="1" applyBorder="1" applyAlignment="1">
      <alignment horizontal="center" vertical="center"/>
    </xf>
    <xf numFmtId="166" fontId="59" fillId="0" borderId="4" xfId="27" applyFont="1" applyFill="1" applyBorder="1" applyAlignment="1">
      <alignment horizontal="center" vertical="center"/>
    </xf>
    <xf numFmtId="167" fontId="61" fillId="7" borderId="4" xfId="0" applyNumberFormat="1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>
      <alignment horizontal="center" vertical="center" wrapText="1"/>
    </xf>
    <xf numFmtId="167" fontId="59" fillId="0" borderId="4" xfId="4" applyFont="1" applyFill="1" applyBorder="1" applyAlignment="1">
      <alignment horizontal="center" vertical="center"/>
    </xf>
    <xf numFmtId="10" fontId="31" fillId="0" borderId="4" xfId="0" applyNumberFormat="1" applyFont="1" applyFill="1" applyBorder="1" applyAlignment="1" applyProtection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 wrapText="1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 applyProtection="1">
      <alignment horizontal="center" vertical="center" wrapText="1"/>
    </xf>
    <xf numFmtId="10" fontId="32" fillId="0" borderId="4" xfId="0" applyNumberFormat="1" applyFont="1" applyFill="1" applyBorder="1" applyAlignment="1">
      <alignment horizontal="center" vertical="center" wrapText="1"/>
    </xf>
    <xf numFmtId="10" fontId="31" fillId="8" borderId="4" xfId="0" applyNumberFormat="1" applyFont="1" applyFill="1" applyBorder="1" applyAlignment="1" applyProtection="1">
      <alignment horizontal="center" vertical="center" wrapText="1"/>
    </xf>
    <xf numFmtId="167" fontId="32" fillId="0" borderId="4" xfId="4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justify" vertical="center" wrapText="1"/>
    </xf>
    <xf numFmtId="167" fontId="31" fillId="0" borderId="4" xfId="0" applyNumberFormat="1" applyFont="1" applyFill="1" applyBorder="1" applyAlignment="1">
      <alignment horizontal="center" vertical="center" wrapText="1"/>
    </xf>
    <xf numFmtId="167" fontId="63" fillId="7" borderId="4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60" fillId="0" borderId="46" xfId="0" applyFont="1" applyFill="1" applyBorder="1" applyAlignment="1">
      <alignment horizontal="center" vertical="center" wrapText="1"/>
    </xf>
    <xf numFmtId="0" fontId="60" fillId="0" borderId="44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  <protection locked="0"/>
    </xf>
    <xf numFmtId="167" fontId="31" fillId="0" borderId="46" xfId="0" applyNumberFormat="1" applyFont="1" applyFill="1" applyBorder="1" applyAlignment="1" applyProtection="1">
      <alignment horizontal="left" vertical="center"/>
      <protection locked="0"/>
    </xf>
    <xf numFmtId="167" fontId="61" fillId="7" borderId="46" xfId="0" applyNumberFormat="1" applyFont="1" applyFill="1" applyBorder="1" applyAlignment="1">
      <alignment horizontal="left" vertical="center"/>
    </xf>
    <xf numFmtId="167" fontId="61" fillId="7" borderId="44" xfId="0" applyNumberFormat="1" applyFont="1" applyFill="1" applyBorder="1" applyAlignment="1">
      <alignment horizontal="left" vertical="center"/>
    </xf>
    <xf numFmtId="167" fontId="31" fillId="0" borderId="46" xfId="0" applyNumberFormat="1" applyFont="1" applyFill="1" applyBorder="1" applyAlignment="1">
      <alignment horizontal="center" vertical="center" wrapText="1"/>
    </xf>
    <xf numFmtId="167" fontId="31" fillId="0" borderId="44" xfId="0" applyNumberFormat="1" applyFont="1" applyFill="1" applyBorder="1" applyAlignment="1">
      <alignment horizontal="center" vertical="center" wrapText="1"/>
    </xf>
    <xf numFmtId="167" fontId="59" fillId="0" borderId="46" xfId="4" applyFont="1" applyFill="1" applyBorder="1" applyAlignment="1">
      <alignment horizontal="center" vertical="center"/>
    </xf>
    <xf numFmtId="167" fontId="31" fillId="0" borderId="44" xfId="0" applyNumberFormat="1" applyFont="1" applyFill="1" applyBorder="1" applyAlignment="1" applyProtection="1">
      <alignment horizontal="center" vertical="center"/>
      <protection locked="0"/>
    </xf>
    <xf numFmtId="10" fontId="31" fillId="0" borderId="46" xfId="0" applyNumberFormat="1" applyFont="1" applyFill="1" applyBorder="1" applyAlignment="1" applyProtection="1">
      <alignment horizontal="center" vertical="center"/>
    </xf>
    <xf numFmtId="167" fontId="31" fillId="0" borderId="44" xfId="0" applyNumberFormat="1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 wrapText="1"/>
    </xf>
    <xf numFmtId="167" fontId="32" fillId="0" borderId="46" xfId="0" applyNumberFormat="1" applyFont="1" applyFill="1" applyBorder="1" applyAlignment="1">
      <alignment horizontal="center" vertical="center" wrapText="1"/>
    </xf>
    <xf numFmtId="167" fontId="32" fillId="0" borderId="44" xfId="0" applyNumberFormat="1" applyFont="1" applyFill="1" applyBorder="1" applyAlignment="1">
      <alignment horizontal="center" vertical="center" wrapText="1"/>
    </xf>
    <xf numFmtId="167" fontId="31" fillId="0" borderId="46" xfId="0" applyNumberFormat="1" applyFont="1" applyFill="1" applyBorder="1" applyAlignment="1" applyProtection="1">
      <alignment horizontal="center" vertical="center"/>
      <protection locked="0"/>
    </xf>
    <xf numFmtId="167" fontId="32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left" vertical="center"/>
    </xf>
    <xf numFmtId="0" fontId="32" fillId="0" borderId="44" xfId="0" applyFont="1" applyFill="1" applyBorder="1" applyAlignment="1">
      <alignment horizontal="left" vertical="center"/>
    </xf>
    <xf numFmtId="10" fontId="31" fillId="0" borderId="46" xfId="0" applyNumberFormat="1" applyFont="1" applyFill="1" applyBorder="1" applyAlignment="1" applyProtection="1">
      <alignment horizontal="center" vertical="center" wrapText="1"/>
    </xf>
    <xf numFmtId="167" fontId="31" fillId="0" borderId="46" xfId="0" applyNumberFormat="1" applyFont="1" applyFill="1" applyBorder="1" applyAlignment="1">
      <alignment horizontal="center" vertical="center"/>
    </xf>
    <xf numFmtId="10" fontId="32" fillId="0" borderId="46" xfId="0" applyNumberFormat="1" applyFont="1" applyFill="1" applyBorder="1" applyAlignment="1">
      <alignment horizontal="center" vertical="center" wrapText="1"/>
    </xf>
    <xf numFmtId="10" fontId="60" fillId="0" borderId="46" xfId="0" applyNumberFormat="1" applyFont="1" applyFill="1" applyBorder="1" applyAlignment="1" applyProtection="1">
      <alignment horizontal="center" vertical="center" wrapText="1"/>
    </xf>
    <xf numFmtId="167" fontId="31" fillId="0" borderId="44" xfId="4" applyFont="1" applyFill="1" applyBorder="1" applyAlignment="1">
      <alignment horizontal="center" vertical="center"/>
    </xf>
    <xf numFmtId="167" fontId="31" fillId="0" borderId="44" xfId="4" applyFont="1" applyFill="1" applyBorder="1" applyAlignment="1">
      <alignment horizontal="right" vertical="center"/>
    </xf>
    <xf numFmtId="167" fontId="31" fillId="0" borderId="44" xfId="4" applyFont="1" applyFill="1" applyBorder="1" applyAlignment="1">
      <alignment horizontal="center" vertical="center" wrapText="1"/>
    </xf>
    <xf numFmtId="167" fontId="32" fillId="0" borderId="46" xfId="4" applyFont="1" applyFill="1" applyBorder="1" applyAlignment="1">
      <alignment horizontal="center" vertical="center" wrapText="1"/>
    </xf>
    <xf numFmtId="167" fontId="32" fillId="0" borderId="44" xfId="4" applyFont="1" applyFill="1" applyBorder="1" applyAlignment="1">
      <alignment horizontal="center" vertical="center" wrapText="1"/>
    </xf>
    <xf numFmtId="169" fontId="31" fillId="0" borderId="46" xfId="0" applyNumberFormat="1" applyFont="1" applyFill="1" applyBorder="1" applyAlignment="1">
      <alignment horizontal="center" vertical="center" wrapText="1"/>
    </xf>
    <xf numFmtId="169" fontId="31" fillId="0" borderId="44" xfId="0" applyNumberFormat="1" applyFont="1" applyFill="1" applyBorder="1" applyAlignment="1">
      <alignment horizontal="center" vertical="center" wrapText="1"/>
    </xf>
    <xf numFmtId="167" fontId="63" fillId="7" borderId="19" xfId="0" applyNumberFormat="1" applyFont="1" applyFill="1" applyBorder="1" applyAlignment="1">
      <alignment horizontal="center" vertical="center" wrapText="1"/>
    </xf>
    <xf numFmtId="167" fontId="63" fillId="7" borderId="20" xfId="0" applyNumberFormat="1" applyFont="1" applyFill="1" applyBorder="1" applyAlignment="1">
      <alignment horizontal="center" vertical="center" wrapText="1"/>
    </xf>
    <xf numFmtId="167" fontId="60" fillId="0" borderId="3" xfId="0" applyNumberFormat="1" applyFont="1" applyFill="1" applyBorder="1" applyAlignment="1">
      <alignment horizontal="center" vertical="center"/>
    </xf>
    <xf numFmtId="10" fontId="60" fillId="8" borderId="3" xfId="0" applyNumberFormat="1" applyFont="1" applyFill="1" applyBorder="1" applyAlignment="1" applyProtection="1">
      <alignment horizontal="center" vertical="center" wrapText="1"/>
    </xf>
    <xf numFmtId="0" fontId="68" fillId="0" borderId="0" xfId="14" applyFont="1" applyFill="1" applyBorder="1" applyAlignment="1">
      <alignment horizontal="center" vertical="center" wrapText="1"/>
    </xf>
    <xf numFmtId="164" fontId="68" fillId="10" borderId="0" xfId="14" applyNumberFormat="1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10" fontId="60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57" fillId="0" borderId="6" xfId="8" applyFont="1" applyFill="1" applyBorder="1" applyAlignment="1">
      <alignment horizontal="center" vertical="center"/>
    </xf>
    <xf numFmtId="0" fontId="57" fillId="0" borderId="3" xfId="10" applyFont="1" applyFill="1" applyBorder="1" applyAlignment="1">
      <alignment horizontal="center" vertical="center" wrapText="1"/>
    </xf>
    <xf numFmtId="0" fontId="44" fillId="0" borderId="0" xfId="8" applyFont="1" applyFill="1" applyAlignment="1">
      <alignment horizontal="center" vertical="center"/>
    </xf>
    <xf numFmtId="0" fontId="57" fillId="0" borderId="54" xfId="8" applyFont="1" applyFill="1" applyBorder="1" applyAlignment="1">
      <alignment horizontal="left" vertical="center"/>
    </xf>
    <xf numFmtId="0" fontId="57" fillId="0" borderId="6" xfId="8" applyFont="1" applyFill="1" applyBorder="1" applyAlignment="1">
      <alignment horizontal="left" vertical="center"/>
    </xf>
    <xf numFmtId="166" fontId="31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 applyProtection="1">
      <alignment horizontal="center" vertical="center" wrapText="1"/>
    </xf>
    <xf numFmtId="167" fontId="60" fillId="4" borderId="3" xfId="0" applyNumberFormat="1" applyFont="1" applyFill="1" applyBorder="1" applyAlignment="1" applyProtection="1">
      <alignment horizontal="left" vertical="center"/>
      <protection locked="0"/>
    </xf>
    <xf numFmtId="167" fontId="31" fillId="4" borderId="3" xfId="0" applyNumberFormat="1" applyFont="1" applyFill="1" applyBorder="1" applyAlignment="1" applyProtection="1">
      <alignment horizontal="left" vertical="center"/>
      <protection locked="0"/>
    </xf>
    <xf numFmtId="167" fontId="31" fillId="4" borderId="3" xfId="0" applyNumberFormat="1" applyFont="1" applyFill="1" applyBorder="1" applyAlignment="1" applyProtection="1">
      <alignment horizontal="center" vertical="center"/>
      <protection locked="0"/>
    </xf>
    <xf numFmtId="172" fontId="32" fillId="8" borderId="46" xfId="0" applyNumberFormat="1" applyFont="1" applyFill="1" applyBorder="1" applyAlignment="1" applyProtection="1">
      <alignment horizontal="center" vertical="center" wrapText="1"/>
      <protection locked="0"/>
    </xf>
    <xf numFmtId="172" fontId="32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57" fillId="0" borderId="6" xfId="8" applyNumberFormat="1" applyFont="1" applyFill="1" applyBorder="1" applyAlignment="1">
      <alignment horizontal="center" vertical="center"/>
    </xf>
    <xf numFmtId="0" fontId="57" fillId="0" borderId="4" xfId="8" applyFont="1" applyFill="1" applyBorder="1" applyAlignment="1">
      <alignment vertical="center"/>
    </xf>
    <xf numFmtId="172" fontId="40" fillId="0" borderId="48" xfId="0" applyNumberFormat="1" applyFont="1" applyBorder="1" applyAlignment="1">
      <alignment horizontal="center" vertical="center" wrapText="1"/>
    </xf>
    <xf numFmtId="172" fontId="40" fillId="0" borderId="0" xfId="0" applyNumberFormat="1" applyFont="1" applyBorder="1" applyAlignment="1">
      <alignment horizontal="center" vertical="center" wrapText="1"/>
    </xf>
    <xf numFmtId="0" fontId="39" fillId="0" borderId="21" xfId="8" applyFont="1" applyBorder="1" applyAlignment="1">
      <alignment horizontal="center" vertical="center"/>
    </xf>
    <xf numFmtId="0" fontId="39" fillId="0" borderId="48" xfId="8" applyFont="1" applyBorder="1" applyAlignment="1">
      <alignment horizontal="center" vertical="center"/>
    </xf>
    <xf numFmtId="0" fontId="39" fillId="0" borderId="34" xfId="8" applyFont="1" applyBorder="1" applyAlignment="1">
      <alignment horizontal="center" vertical="center"/>
    </xf>
    <xf numFmtId="0" fontId="39" fillId="5" borderId="12" xfId="8" applyFont="1" applyFill="1" applyBorder="1" applyAlignment="1">
      <alignment horizontal="center" vertical="center"/>
    </xf>
    <xf numFmtId="0" fontId="39" fillId="5" borderId="56" xfId="8" applyFont="1" applyFill="1" applyBorder="1" applyAlignment="1">
      <alignment horizontal="center" vertical="center"/>
    </xf>
    <xf numFmtId="0" fontId="39" fillId="5" borderId="57" xfId="8" applyFont="1" applyFill="1" applyBorder="1" applyAlignment="1">
      <alignment horizontal="center" vertical="center"/>
    </xf>
    <xf numFmtId="165" fontId="39" fillId="0" borderId="67" xfId="6" applyFont="1" applyFill="1" applyBorder="1" applyAlignment="1">
      <alignment horizontal="center" vertical="center"/>
    </xf>
    <xf numFmtId="165" fontId="39" fillId="0" borderId="36" xfId="6" applyFont="1" applyFill="1" applyBorder="1" applyAlignment="1">
      <alignment horizontal="center" vertical="center"/>
    </xf>
    <xf numFmtId="0" fontId="40" fillId="0" borderId="0" xfId="13" applyFont="1" applyFill="1" applyAlignment="1">
      <alignment horizontal="right" vertical="center"/>
    </xf>
    <xf numFmtId="167" fontId="40" fillId="0" borderId="8" xfId="4" applyFont="1" applyFill="1" applyBorder="1" applyAlignment="1">
      <alignment horizontal="center" vertical="center"/>
    </xf>
    <xf numFmtId="10" fontId="41" fillId="0" borderId="33" xfId="19" applyNumberFormat="1" applyFont="1" applyBorder="1" applyAlignment="1">
      <alignment horizontal="center" vertical="center" wrapText="1"/>
    </xf>
    <xf numFmtId="10" fontId="41" fillId="0" borderId="22" xfId="19" applyNumberFormat="1" applyFont="1" applyBorder="1" applyAlignment="1">
      <alignment horizontal="center" vertical="center" wrapText="1"/>
    </xf>
    <xf numFmtId="0" fontId="39" fillId="0" borderId="11" xfId="8" applyFont="1" applyBorder="1" applyAlignment="1">
      <alignment horizontal="center" vertical="center"/>
    </xf>
    <xf numFmtId="0" fontId="39" fillId="0" borderId="6" xfId="8" applyFont="1" applyBorder="1" applyAlignment="1">
      <alignment horizontal="center" vertical="center"/>
    </xf>
    <xf numFmtId="0" fontId="39" fillId="0" borderId="35" xfId="8" applyFont="1" applyBorder="1" applyAlignment="1">
      <alignment horizontal="center" vertical="center"/>
    </xf>
    <xf numFmtId="0" fontId="39" fillId="0" borderId="12" xfId="8" applyFont="1" applyBorder="1" applyAlignment="1">
      <alignment horizontal="center" vertical="center"/>
    </xf>
    <xf numFmtId="0" fontId="39" fillId="0" borderId="55" xfId="8" applyFont="1" applyBorder="1" applyAlignment="1">
      <alignment horizontal="center" vertical="center"/>
    </xf>
    <xf numFmtId="0" fontId="39" fillId="0" borderId="12" xfId="8" applyFont="1" applyFill="1" applyBorder="1" applyAlignment="1">
      <alignment horizontal="center" vertical="center"/>
    </xf>
    <xf numFmtId="0" fontId="39" fillId="0" borderId="55" xfId="8" applyFont="1" applyFill="1" applyBorder="1" applyAlignment="1">
      <alignment horizontal="center" vertical="center"/>
    </xf>
    <xf numFmtId="167" fontId="39" fillId="0" borderId="0" xfId="5" applyFont="1" applyBorder="1" applyAlignment="1">
      <alignment horizontal="center" vertical="center"/>
    </xf>
    <xf numFmtId="14" fontId="41" fillId="0" borderId="54" xfId="8" applyNumberFormat="1" applyFont="1" applyFill="1" applyBorder="1" applyAlignment="1">
      <alignment horizontal="center" vertical="center" wrapText="1"/>
    </xf>
    <xf numFmtId="14" fontId="41" fillId="0" borderId="35" xfId="8" applyNumberFormat="1" applyFont="1" applyFill="1" applyBorder="1" applyAlignment="1">
      <alignment horizontal="center" vertical="center" wrapText="1"/>
    </xf>
    <xf numFmtId="14" fontId="41" fillId="0" borderId="54" xfId="8" applyNumberFormat="1" applyFont="1" applyBorder="1" applyAlignment="1">
      <alignment horizontal="center" vertical="center" wrapText="1"/>
    </xf>
    <xf numFmtId="14" fontId="41" fillId="0" borderId="35" xfId="8" applyNumberFormat="1" applyFont="1" applyBorder="1" applyAlignment="1">
      <alignment horizontal="center" vertical="center" wrapText="1"/>
    </xf>
    <xf numFmtId="172" fontId="41" fillId="0" borderId="54" xfId="8" applyNumberFormat="1" applyFont="1" applyBorder="1" applyAlignment="1">
      <alignment horizontal="center" vertical="center" wrapText="1"/>
    </xf>
    <xf numFmtId="172" fontId="41" fillId="0" borderId="35" xfId="8" applyNumberFormat="1" applyFont="1" applyBorder="1" applyAlignment="1">
      <alignment horizontal="center" vertical="center" wrapText="1"/>
    </xf>
    <xf numFmtId="1" fontId="41" fillId="0" borderId="54" xfId="8" quotePrefix="1" applyNumberFormat="1" applyFont="1" applyBorder="1" applyAlignment="1">
      <alignment horizontal="center" vertical="center" wrapText="1"/>
    </xf>
    <xf numFmtId="1" fontId="41" fillId="0" borderId="35" xfId="8" quotePrefix="1" applyNumberFormat="1" applyFont="1" applyBorder="1" applyAlignment="1">
      <alignment horizontal="center" vertical="center" wrapText="1"/>
    </xf>
    <xf numFmtId="3" fontId="41" fillId="0" borderId="61" xfId="8" quotePrefix="1" applyNumberFormat="1" applyFont="1" applyFill="1" applyBorder="1" applyAlignment="1">
      <alignment horizontal="center" vertical="center" wrapText="1"/>
    </xf>
    <xf numFmtId="3" fontId="41" fillId="0" borderId="14" xfId="8" quotePrefix="1" applyNumberFormat="1" applyFont="1" applyFill="1" applyBorder="1" applyAlignment="1">
      <alignment horizontal="center" vertical="center" wrapText="1"/>
    </xf>
    <xf numFmtId="20" fontId="41" fillId="0" borderId="54" xfId="8" applyNumberFormat="1" applyFont="1" applyBorder="1" applyAlignment="1">
      <alignment horizontal="center" vertical="center" wrapText="1"/>
    </xf>
    <xf numFmtId="20" fontId="41" fillId="0" borderId="35" xfId="8" applyNumberFormat="1" applyFont="1" applyBorder="1" applyAlignment="1">
      <alignment horizontal="center" vertical="center" wrapText="1"/>
    </xf>
    <xf numFmtId="172" fontId="41" fillId="0" borderId="64" xfId="8" applyNumberFormat="1" applyFont="1" applyBorder="1" applyAlignment="1">
      <alignment horizontal="center" vertical="center" wrapText="1"/>
    </xf>
    <xf numFmtId="172" fontId="41" fillId="0" borderId="65" xfId="8" applyNumberFormat="1" applyFont="1" applyBorder="1" applyAlignment="1">
      <alignment horizontal="center" vertical="center" wrapText="1"/>
    </xf>
    <xf numFmtId="172" fontId="39" fillId="0" borderId="15" xfId="8" applyNumberFormat="1" applyFont="1" applyBorder="1" applyAlignment="1">
      <alignment horizontal="center" vertical="center" wrapText="1"/>
    </xf>
    <xf numFmtId="172" fontId="39" fillId="0" borderId="66" xfId="8" applyNumberFormat="1" applyFont="1" applyBorder="1" applyAlignment="1">
      <alignment horizontal="center" vertical="center" wrapText="1"/>
    </xf>
    <xf numFmtId="0" fontId="50" fillId="4" borderId="54" xfId="8" applyFont="1" applyFill="1" applyBorder="1" applyAlignment="1">
      <alignment horizontal="center" vertical="center" wrapText="1"/>
    </xf>
    <xf numFmtId="0" fontId="50" fillId="4" borderId="35" xfId="8" applyFont="1" applyFill="1" applyBorder="1" applyAlignment="1">
      <alignment horizontal="center" vertical="center" wrapText="1"/>
    </xf>
    <xf numFmtId="0" fontId="41" fillId="0" borderId="67" xfId="8" applyFont="1" applyBorder="1" applyAlignment="1">
      <alignment horizontal="center" vertical="center" wrapText="1"/>
    </xf>
    <xf numFmtId="0" fontId="41" fillId="0" borderId="36" xfId="8" applyFont="1" applyBorder="1" applyAlignment="1">
      <alignment horizontal="center" vertical="center" wrapText="1"/>
    </xf>
    <xf numFmtId="0" fontId="39" fillId="0" borderId="15" xfId="8" applyFont="1" applyFill="1" applyBorder="1" applyAlignment="1">
      <alignment horizontal="center" vertical="center"/>
    </xf>
    <xf numFmtId="0" fontId="39" fillId="0" borderId="68" xfId="8" applyFont="1" applyFill="1" applyBorder="1" applyAlignment="1">
      <alignment horizontal="center" vertical="center"/>
    </xf>
    <xf numFmtId="0" fontId="39" fillId="0" borderId="16" xfId="8" applyFont="1" applyFill="1" applyBorder="1" applyAlignment="1">
      <alignment horizontal="center" vertical="center"/>
    </xf>
    <xf numFmtId="165" fontId="39" fillId="0" borderId="49" xfId="6" applyFont="1" applyFill="1" applyBorder="1" applyAlignment="1">
      <alignment horizontal="center" vertical="center"/>
    </xf>
    <xf numFmtId="165" fontId="39" fillId="0" borderId="16" xfId="6" applyFont="1" applyFill="1" applyBorder="1" applyAlignment="1">
      <alignment horizontal="center" vertical="center"/>
    </xf>
    <xf numFmtId="17" fontId="41" fillId="0" borderId="54" xfId="8" quotePrefix="1" applyNumberFormat="1" applyFont="1" applyBorder="1" applyAlignment="1">
      <alignment horizontal="center" vertical="center" wrapText="1"/>
    </xf>
    <xf numFmtId="17" fontId="41" fillId="0" borderId="35" xfId="8" quotePrefix="1" applyNumberFormat="1" applyFont="1" applyBorder="1" applyAlignment="1">
      <alignment horizontal="center" vertical="center" wrapText="1"/>
    </xf>
    <xf numFmtId="165" fontId="40" fillId="0" borderId="0" xfId="6" applyFont="1" applyFill="1" applyBorder="1" applyAlignment="1">
      <alignment horizontal="center" vertical="top" wrapText="1"/>
    </xf>
    <xf numFmtId="165" fontId="40" fillId="0" borderId="8" xfId="6" applyFont="1" applyFill="1" applyBorder="1" applyAlignment="1">
      <alignment horizontal="center" vertical="top" wrapText="1"/>
    </xf>
    <xf numFmtId="0" fontId="52" fillId="0" borderId="21" xfId="8" applyFont="1" applyBorder="1" applyAlignment="1">
      <alignment horizontal="center" vertical="center"/>
    </xf>
    <xf numFmtId="0" fontId="52" fillId="0" borderId="48" xfId="8" applyFont="1" applyBorder="1" applyAlignment="1">
      <alignment horizontal="center" vertical="center"/>
    </xf>
    <xf numFmtId="165" fontId="39" fillId="0" borderId="12" xfId="6" applyFont="1" applyBorder="1" applyAlignment="1">
      <alignment horizontal="center" vertical="center"/>
    </xf>
    <xf numFmtId="165" fontId="39" fillId="0" borderId="57" xfId="6" applyFont="1" applyBorder="1" applyAlignment="1">
      <alignment horizontal="center" vertical="center"/>
    </xf>
    <xf numFmtId="0" fontId="51" fillId="0" borderId="17" xfId="8" applyFont="1" applyBorder="1" applyAlignment="1">
      <alignment horizontal="left" vertical="center"/>
    </xf>
    <xf numFmtId="0" fontId="51" fillId="0" borderId="43" xfId="8" applyFont="1" applyBorder="1" applyAlignment="1">
      <alignment horizontal="left" vertical="center"/>
    </xf>
    <xf numFmtId="0" fontId="51" fillId="0" borderId="67" xfId="8" applyFont="1" applyBorder="1" applyAlignment="1">
      <alignment horizontal="left" vertical="center"/>
    </xf>
    <xf numFmtId="0" fontId="51" fillId="0" borderId="46" xfId="8" applyFont="1" applyBorder="1" applyAlignment="1">
      <alignment horizontal="left" vertical="center"/>
    </xf>
    <xf numFmtId="0" fontId="51" fillId="0" borderId="3" xfId="8" applyFont="1" applyBorder="1" applyAlignment="1">
      <alignment horizontal="left" vertical="center"/>
    </xf>
    <xf numFmtId="0" fontId="51" fillId="0" borderId="54" xfId="8" applyFont="1" applyBorder="1" applyAlignment="1">
      <alignment horizontal="left" vertical="center"/>
    </xf>
    <xf numFmtId="165" fontId="50" fillId="0" borderId="22" xfId="6" applyFont="1" applyFill="1" applyBorder="1" applyAlignment="1">
      <alignment horizontal="center" vertical="center"/>
    </xf>
    <xf numFmtId="165" fontId="50" fillId="0" borderId="27" xfId="6" applyFont="1" applyFill="1" applyBorder="1" applyAlignment="1">
      <alignment horizontal="center" vertical="center"/>
    </xf>
    <xf numFmtId="0" fontId="39" fillId="0" borderId="5" xfId="8" applyFont="1" applyBorder="1" applyAlignment="1">
      <alignment horizontal="center" vertical="center"/>
    </xf>
    <xf numFmtId="0" fontId="39" fillId="0" borderId="0" xfId="8" applyFont="1" applyBorder="1" applyAlignment="1">
      <alignment horizontal="center" vertical="center"/>
    </xf>
    <xf numFmtId="0" fontId="39" fillId="0" borderId="52" xfId="8" applyFont="1" applyBorder="1" applyAlignment="1">
      <alignment horizontal="center" vertical="center"/>
    </xf>
    <xf numFmtId="0" fontId="50" fillId="0" borderId="0" xfId="0" quotePrefix="1" applyFont="1" applyBorder="1" applyAlignment="1">
      <alignment horizontal="justify" vertical="center" wrapText="1"/>
    </xf>
    <xf numFmtId="0" fontId="39" fillId="0" borderId="28" xfId="8" applyFont="1" applyBorder="1" applyAlignment="1">
      <alignment horizontal="center" vertical="center"/>
    </xf>
    <xf numFmtId="0" fontId="39" fillId="0" borderId="29" xfId="8" applyFont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0" borderId="8" xfId="8" applyFont="1" applyBorder="1" applyAlignment="1">
      <alignment horizontal="center" vertical="center"/>
    </xf>
    <xf numFmtId="172" fontId="39" fillId="0" borderId="46" xfId="0" applyNumberFormat="1" applyFont="1" applyFill="1" applyBorder="1" applyAlignment="1">
      <alignment horizontal="center" vertical="center"/>
    </xf>
    <xf numFmtId="172" fontId="39" fillId="0" borderId="3" xfId="0" applyNumberFormat="1" applyFont="1" applyFill="1" applyBorder="1" applyAlignment="1">
      <alignment horizontal="center" vertical="center"/>
    </xf>
    <xf numFmtId="2" fontId="39" fillId="0" borderId="3" xfId="0" applyNumberFormat="1" applyFont="1" applyFill="1" applyBorder="1" applyAlignment="1">
      <alignment horizontal="center" vertical="center"/>
    </xf>
    <xf numFmtId="2" fontId="39" fillId="0" borderId="44" xfId="0" applyNumberFormat="1" applyFont="1" applyFill="1" applyBorder="1" applyAlignment="1">
      <alignment horizontal="center" vertical="center"/>
    </xf>
    <xf numFmtId="0" fontId="41" fillId="0" borderId="19" xfId="8" applyFont="1" applyBorder="1" applyAlignment="1">
      <alignment horizontal="center" vertical="center"/>
    </xf>
    <xf numFmtId="0" fontId="41" fillId="0" borderId="30" xfId="8" applyFont="1" applyBorder="1" applyAlignment="1">
      <alignment horizontal="center" vertical="center"/>
    </xf>
    <xf numFmtId="0" fontId="39" fillId="0" borderId="61" xfId="8" applyFont="1" applyBorder="1" applyAlignment="1">
      <alignment horizontal="center" vertical="center"/>
    </xf>
    <xf numFmtId="0" fontId="39" fillId="0" borderId="10" xfId="8" applyFont="1" applyBorder="1" applyAlignment="1">
      <alignment horizontal="center" vertical="center"/>
    </xf>
    <xf numFmtId="0" fontId="39" fillId="0" borderId="62" xfId="8" applyFont="1" applyBorder="1" applyAlignment="1">
      <alignment horizontal="center" vertical="center"/>
    </xf>
    <xf numFmtId="165" fontId="41" fillId="0" borderId="37" xfId="6" applyFont="1" applyFill="1" applyBorder="1" applyAlignment="1">
      <alignment horizontal="center" vertical="center"/>
    </xf>
    <xf numFmtId="165" fontId="41" fillId="0" borderId="63" xfId="6" applyFont="1" applyFill="1" applyBorder="1" applyAlignment="1">
      <alignment horizontal="center" vertical="center"/>
    </xf>
    <xf numFmtId="0" fontId="50" fillId="6" borderId="49" xfId="8" applyFont="1" applyFill="1" applyBorder="1" applyAlignment="1">
      <alignment horizontal="center" vertical="center"/>
    </xf>
    <xf numFmtId="0" fontId="50" fillId="6" borderId="68" xfId="8" applyFont="1" applyFill="1" applyBorder="1" applyAlignment="1">
      <alignment horizontal="center" vertical="center"/>
    </xf>
    <xf numFmtId="0" fontId="50" fillId="6" borderId="66" xfId="8" applyFont="1" applyFill="1" applyBorder="1" applyAlignment="1">
      <alignment horizontal="center" vertical="center"/>
    </xf>
    <xf numFmtId="0" fontId="50" fillId="0" borderId="0" xfId="8" applyNumberFormat="1" applyFont="1" applyBorder="1" applyAlignment="1">
      <alignment horizontal="justify" vertical="center" wrapText="1"/>
    </xf>
    <xf numFmtId="0" fontId="41" fillId="0" borderId="58" xfId="8" applyFont="1" applyBorder="1" applyAlignment="1">
      <alignment horizontal="center" vertical="center" wrapText="1"/>
    </xf>
    <xf numFmtId="0" fontId="41" fillId="0" borderId="40" xfId="8" applyFont="1" applyBorder="1" applyAlignment="1">
      <alignment horizontal="center" vertical="center" wrapText="1"/>
    </xf>
    <xf numFmtId="0" fontId="51" fillId="0" borderId="19" xfId="8" applyFont="1" applyBorder="1" applyAlignment="1">
      <alignment horizontal="left" vertical="center"/>
    </xf>
    <xf numFmtId="0" fontId="51" fillId="0" borderId="30" xfId="8" applyFont="1" applyBorder="1" applyAlignment="1">
      <alignment horizontal="left" vertical="center"/>
    </xf>
    <xf numFmtId="0" fontId="51" fillId="0" borderId="49" xfId="8" applyFont="1" applyBorder="1" applyAlignment="1">
      <alignment horizontal="left" vertical="center"/>
    </xf>
    <xf numFmtId="165" fontId="50" fillId="0" borderId="51" xfId="6" applyFont="1" applyFill="1" applyBorder="1" applyAlignment="1">
      <alignment horizontal="center" vertical="center"/>
    </xf>
    <xf numFmtId="0" fontId="41" fillId="0" borderId="21" xfId="8" applyFont="1" applyBorder="1" applyAlignment="1">
      <alignment horizontal="left" vertical="center"/>
    </xf>
    <xf numFmtId="0" fontId="41" fillId="0" borderId="48" xfId="8" applyFont="1" applyBorder="1" applyAlignment="1">
      <alignment horizontal="left" vertical="center"/>
    </xf>
    <xf numFmtId="0" fontId="41" fillId="0" borderId="34" xfId="8" applyFont="1" applyBorder="1" applyAlignment="1">
      <alignment horizontal="left" vertical="center"/>
    </xf>
    <xf numFmtId="0" fontId="41" fillId="0" borderId="11" xfId="8" applyFont="1" applyBorder="1" applyAlignment="1">
      <alignment horizontal="left" vertical="center"/>
    </xf>
    <xf numFmtId="0" fontId="41" fillId="0" borderId="6" xfId="8" applyFont="1" applyBorder="1" applyAlignment="1">
      <alignment horizontal="left" vertical="center"/>
    </xf>
    <xf numFmtId="0" fontId="41" fillId="0" borderId="35" xfId="8" applyFont="1" applyBorder="1" applyAlignment="1">
      <alignment horizontal="left" vertical="center"/>
    </xf>
    <xf numFmtId="2" fontId="39" fillId="0" borderId="19" xfId="0" applyNumberFormat="1" applyFont="1" applyBorder="1" applyAlignment="1">
      <alignment horizontal="center" vertical="center"/>
    </xf>
    <xf numFmtId="2" fontId="39" fillId="0" borderId="30" xfId="0" applyNumberFormat="1" applyFont="1" applyBorder="1" applyAlignment="1">
      <alignment horizontal="center" vertical="center"/>
    </xf>
    <xf numFmtId="2" fontId="39" fillId="0" borderId="29" xfId="0" applyNumberFormat="1" applyFont="1" applyBorder="1" applyAlignment="1">
      <alignment horizontal="center" vertical="center"/>
    </xf>
    <xf numFmtId="2" fontId="39" fillId="0" borderId="47" xfId="0" applyNumberFormat="1" applyFont="1" applyBorder="1" applyAlignment="1">
      <alignment horizontal="center" vertical="center"/>
    </xf>
    <xf numFmtId="172" fontId="39" fillId="2" borderId="46" xfId="0" applyNumberFormat="1" applyFont="1" applyFill="1" applyBorder="1" applyAlignment="1">
      <alignment horizontal="center" vertical="center"/>
    </xf>
    <xf numFmtId="172" fontId="39" fillId="2" borderId="3" xfId="0" applyNumberFormat="1" applyFont="1" applyFill="1" applyBorder="1" applyAlignment="1">
      <alignment horizontal="center" vertical="center"/>
    </xf>
    <xf numFmtId="2" fontId="39" fillId="2" borderId="3" xfId="0" applyNumberFormat="1" applyFont="1" applyFill="1" applyBorder="1" applyAlignment="1">
      <alignment horizontal="center" vertical="center"/>
    </xf>
    <xf numFmtId="2" fontId="39" fillId="2" borderId="44" xfId="0" applyNumberFormat="1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172" fontId="39" fillId="0" borderId="11" xfId="0" applyNumberFormat="1" applyFont="1" applyBorder="1" applyAlignment="1">
      <alignment horizontal="center" vertical="center"/>
    </xf>
    <xf numFmtId="172" fontId="39" fillId="0" borderId="4" xfId="0" applyNumberFormat="1" applyFont="1" applyBorder="1" applyAlignment="1">
      <alignment horizontal="center" vertical="center"/>
    </xf>
    <xf numFmtId="2" fontId="39" fillId="0" borderId="54" xfId="0" applyNumberFormat="1" applyFont="1" applyFill="1" applyBorder="1" applyAlignment="1">
      <alignment horizontal="left" vertical="center"/>
    </xf>
    <xf numFmtId="2" fontId="39" fillId="0" borderId="35" xfId="0" applyNumberFormat="1" applyFont="1" applyFill="1" applyBorder="1" applyAlignment="1">
      <alignment horizontal="left" vertical="center"/>
    </xf>
    <xf numFmtId="0" fontId="55" fillId="0" borderId="11" xfId="8" applyFont="1" applyBorder="1" applyAlignment="1">
      <alignment horizontal="left" vertical="center" wrapText="1"/>
    </xf>
    <xf numFmtId="0" fontId="55" fillId="0" borderId="6" xfId="8" applyFont="1" applyBorder="1" applyAlignment="1">
      <alignment horizontal="left" vertical="center" wrapText="1"/>
    </xf>
    <xf numFmtId="0" fontId="55" fillId="0" borderId="35" xfId="8" applyFont="1" applyBorder="1" applyAlignment="1">
      <alignment horizontal="left" vertical="center" wrapText="1"/>
    </xf>
    <xf numFmtId="0" fontId="39" fillId="0" borderId="0" xfId="9" applyFont="1" applyBorder="1" applyAlignment="1">
      <alignment horizontal="justify" vertical="center" wrapText="1"/>
    </xf>
    <xf numFmtId="0" fontId="70" fillId="6" borderId="12" xfId="13" applyFont="1" applyFill="1" applyBorder="1" applyAlignment="1">
      <alignment horizontal="left" vertical="center"/>
    </xf>
    <xf numFmtId="0" fontId="70" fillId="6" borderId="56" xfId="13" applyFont="1" applyFill="1" applyBorder="1" applyAlignment="1">
      <alignment horizontal="left" vertical="center"/>
    </xf>
    <xf numFmtId="0" fontId="70" fillId="6" borderId="57" xfId="13" applyFont="1" applyFill="1" applyBorder="1" applyAlignment="1">
      <alignment horizontal="left" vertical="center"/>
    </xf>
    <xf numFmtId="165" fontId="41" fillId="0" borderId="23" xfId="6" applyFont="1" applyFill="1" applyBorder="1" applyAlignment="1">
      <alignment horizontal="center" vertical="center"/>
    </xf>
    <xf numFmtId="165" fontId="41" fillId="0" borderId="22" xfId="6" applyFont="1" applyFill="1" applyBorder="1" applyAlignment="1">
      <alignment horizontal="center" vertical="center"/>
    </xf>
    <xf numFmtId="165" fontId="50" fillId="0" borderId="58" xfId="6" applyFont="1" applyBorder="1" applyAlignment="1">
      <alignment horizontal="center" vertical="center"/>
    </xf>
    <xf numFmtId="165" fontId="50" fillId="0" borderId="18" xfId="6" applyFont="1" applyBorder="1" applyAlignment="1">
      <alignment horizontal="center" vertical="center"/>
    </xf>
    <xf numFmtId="0" fontId="51" fillId="11" borderId="59" xfId="8" applyFont="1" applyFill="1" applyBorder="1" applyAlignment="1">
      <alignment horizontal="center" vertical="center"/>
    </xf>
    <xf numFmtId="0" fontId="51" fillId="11" borderId="41" xfId="8" applyFont="1" applyFill="1" applyBorder="1" applyAlignment="1">
      <alignment horizontal="center" vertical="center"/>
    </xf>
    <xf numFmtId="0" fontId="51" fillId="11" borderId="13" xfId="8" applyFont="1" applyFill="1" applyBorder="1" applyAlignment="1">
      <alignment horizontal="center" vertical="center"/>
    </xf>
    <xf numFmtId="0" fontId="41" fillId="0" borderId="23" xfId="8" applyFont="1" applyBorder="1" applyAlignment="1">
      <alignment horizontal="center" vertical="center" wrapText="1"/>
    </xf>
    <xf numFmtId="0" fontId="41" fillId="0" borderId="60" xfId="8" applyFont="1" applyBorder="1" applyAlignment="1">
      <alignment horizontal="center" vertical="center" wrapText="1"/>
    </xf>
    <xf numFmtId="0" fontId="50" fillId="0" borderId="0" xfId="6" applyNumberFormat="1" applyFont="1" applyFill="1" applyBorder="1" applyAlignment="1">
      <alignment horizontal="justify" vertical="center" wrapText="1"/>
    </xf>
    <xf numFmtId="0" fontId="22" fillId="0" borderId="0" xfId="1" applyFont="1" applyFill="1" applyAlignment="1">
      <alignment horizontal="justify" vertical="center"/>
    </xf>
    <xf numFmtId="0" fontId="22" fillId="0" borderId="54" xfId="1" applyFont="1" applyFill="1" applyBorder="1" applyAlignment="1">
      <alignment horizontal="justify" vertical="center" wrapText="1"/>
    </xf>
    <xf numFmtId="0" fontId="22" fillId="0" borderId="6" xfId="1" applyFont="1" applyFill="1" applyBorder="1" applyAlignment="1">
      <alignment horizontal="justify" vertical="center" wrapText="1"/>
    </xf>
    <xf numFmtId="0" fontId="21" fillId="10" borderId="3" xfId="1" applyFont="1" applyFill="1" applyBorder="1" applyAlignment="1">
      <alignment horizontal="center" vertical="center"/>
    </xf>
    <xf numFmtId="0" fontId="22" fillId="0" borderId="5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1" fillId="5" borderId="69" xfId="1" applyFont="1" applyFill="1" applyBorder="1" applyAlignment="1">
      <alignment horizontal="center" vertical="center"/>
    </xf>
    <xf numFmtId="0" fontId="21" fillId="5" borderId="32" xfId="1" applyFont="1" applyFill="1" applyBorder="1" applyAlignment="1">
      <alignment horizontal="center" vertical="center"/>
    </xf>
    <xf numFmtId="0" fontId="21" fillId="5" borderId="67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justify" vertical="center" wrapText="1"/>
    </xf>
    <xf numFmtId="173" fontId="21" fillId="0" borderId="0" xfId="1" applyNumberFormat="1" applyFont="1" applyFill="1" applyAlignment="1">
      <alignment horizontal="left" vertical="center"/>
    </xf>
    <xf numFmtId="0" fontId="22" fillId="0" borderId="0" xfId="1" applyFont="1" applyFill="1" applyAlignment="1">
      <alignment horizontal="justify" vertical="justify" wrapText="1"/>
    </xf>
    <xf numFmtId="0" fontId="21" fillId="5" borderId="4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/>
    </xf>
    <xf numFmtId="0" fontId="21" fillId="5" borderId="54" xfId="1" applyFont="1" applyFill="1" applyBorder="1" applyAlignment="1">
      <alignment horizontal="right" vertical="center"/>
    </xf>
    <xf numFmtId="0" fontId="21" fillId="5" borderId="6" xfId="1" applyFont="1" applyFill="1" applyBorder="1" applyAlignment="1">
      <alignment horizontal="right" vertical="center"/>
    </xf>
    <xf numFmtId="0" fontId="21" fillId="5" borderId="4" xfId="1" applyFont="1" applyFill="1" applyBorder="1" applyAlignment="1">
      <alignment horizontal="right" vertical="center"/>
    </xf>
    <xf numFmtId="14" fontId="31" fillId="0" borderId="7" xfId="0" applyNumberFormat="1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horizontal="center" vertical="center" wrapText="1"/>
      <protection locked="0"/>
    </xf>
    <xf numFmtId="14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5" fillId="13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2" fillId="8" borderId="3" xfId="0" applyFont="1" applyFill="1" applyBorder="1" applyAlignment="1" applyProtection="1">
      <alignment horizontal="center" vertical="center" wrapText="1"/>
      <protection locked="0"/>
    </xf>
    <xf numFmtId="0" fontId="65" fillId="13" borderId="4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169" fontId="61" fillId="7" borderId="3" xfId="0" applyNumberFormat="1" applyFont="1" applyFill="1" applyBorder="1" applyAlignment="1" applyProtection="1">
      <alignment horizontal="center" vertical="center" wrapText="1"/>
      <protection locked="0"/>
    </xf>
    <xf numFmtId="169" fontId="61" fillId="7" borderId="54" xfId="0" applyNumberFormat="1" applyFont="1" applyFill="1" applyBorder="1" applyAlignment="1" applyProtection="1">
      <alignment horizontal="center" vertical="center" wrapText="1"/>
      <protection locked="0"/>
    </xf>
    <xf numFmtId="169" fontId="61" fillId="8" borderId="4" xfId="0" applyNumberFormat="1" applyFont="1" applyFill="1" applyBorder="1" applyAlignment="1" applyProtection="1">
      <alignment horizontal="center" vertical="center" wrapText="1"/>
      <protection locked="0"/>
    </xf>
    <xf numFmtId="169" fontId="61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54" xfId="0" applyFont="1" applyFill="1" applyBorder="1" applyAlignment="1" applyProtection="1">
      <alignment horizontal="center" vertical="center" wrapText="1"/>
      <protection locked="0"/>
    </xf>
    <xf numFmtId="14" fontId="3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 applyProtection="1">
      <alignment horizontal="justify" vertical="center" wrapText="1"/>
      <protection locked="0"/>
    </xf>
    <xf numFmtId="0" fontId="32" fillId="0" borderId="3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right" vertical="center" wrapText="1"/>
    </xf>
    <xf numFmtId="0" fontId="31" fillId="0" borderId="3" xfId="0" applyFont="1" applyFill="1" applyBorder="1" applyAlignment="1" applyProtection="1">
      <alignment horizontal="left" vertical="center"/>
      <protection locked="0"/>
    </xf>
    <xf numFmtId="14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>
      <alignment horizontal="center" vertical="center"/>
    </xf>
    <xf numFmtId="0" fontId="32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46" xfId="0" applyFont="1" applyFill="1" applyBorder="1" applyAlignment="1" applyProtection="1">
      <alignment horizontal="center" vertical="center" wrapText="1"/>
      <protection locked="0"/>
    </xf>
    <xf numFmtId="0" fontId="31" fillId="0" borderId="44" xfId="0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169" fontId="61" fillId="7" borderId="46" xfId="0" applyNumberFormat="1" applyFont="1" applyFill="1" applyBorder="1" applyAlignment="1" applyProtection="1">
      <alignment horizontal="center" vertical="center" wrapText="1"/>
      <protection locked="0"/>
    </xf>
    <xf numFmtId="169" fontId="61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 applyProtection="1">
      <alignment horizontal="center" vertical="center" wrapText="1"/>
      <protection locked="0"/>
    </xf>
    <xf numFmtId="0" fontId="32" fillId="0" borderId="44" xfId="0" applyFont="1" applyFill="1" applyBorder="1" applyAlignment="1" applyProtection="1">
      <alignment horizontal="center" vertical="center" wrapText="1"/>
      <protection locked="0"/>
    </xf>
    <xf numFmtId="14" fontId="31" fillId="0" borderId="46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>
      <alignment horizontal="center" vertical="center" wrapText="1"/>
    </xf>
    <xf numFmtId="0" fontId="65" fillId="8" borderId="3" xfId="0" applyFont="1" applyFill="1" applyBorder="1" applyAlignment="1">
      <alignment horizontal="center" vertical="center" wrapText="1"/>
    </xf>
    <xf numFmtId="0" fontId="65" fillId="8" borderId="54" xfId="0" applyFont="1" applyFill="1" applyBorder="1" applyAlignment="1">
      <alignment horizontal="center" vertical="center" wrapText="1"/>
    </xf>
    <xf numFmtId="0" fontId="65" fillId="12" borderId="12" xfId="0" applyFont="1" applyFill="1" applyBorder="1" applyAlignment="1">
      <alignment horizontal="center" vertical="center" wrapText="1"/>
    </xf>
    <xf numFmtId="0" fontId="65" fillId="12" borderId="57" xfId="0" applyFont="1" applyFill="1" applyBorder="1" applyAlignment="1">
      <alignment horizontal="center" vertical="center" wrapText="1"/>
    </xf>
    <xf numFmtId="1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54" xfId="0" applyFont="1" applyFill="1" applyBorder="1" applyAlignment="1" applyProtection="1">
      <alignment horizontal="center" vertical="center" wrapText="1"/>
      <protection locked="0"/>
    </xf>
    <xf numFmtId="169" fontId="61" fillId="4" borderId="3" xfId="0" applyNumberFormat="1" applyFont="1" applyFill="1" applyBorder="1" applyAlignment="1" applyProtection="1">
      <alignment horizontal="center" vertical="center" wrapText="1"/>
      <protection locked="0"/>
    </xf>
    <xf numFmtId="169" fontId="6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>
      <alignment horizontal="right" vertical="center"/>
    </xf>
    <xf numFmtId="169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20" fontId="31" fillId="0" borderId="3" xfId="0" applyNumberFormat="1" applyFont="1" applyFill="1" applyBorder="1" applyAlignment="1" applyProtection="1">
      <alignment horizontal="left" vertical="top" wrapText="1"/>
      <protection locked="0"/>
    </xf>
    <xf numFmtId="0" fontId="39" fillId="0" borderId="54" xfId="14" applyFont="1" applyFill="1" applyBorder="1" applyAlignment="1">
      <alignment horizontal="center" vertical="center" wrapText="1"/>
    </xf>
    <xf numFmtId="0" fontId="39" fillId="0" borderId="6" xfId="14" applyFont="1" applyFill="1" applyBorder="1" applyAlignment="1">
      <alignment horizontal="center" vertical="center" wrapText="1"/>
    </xf>
    <xf numFmtId="0" fontId="39" fillId="0" borderId="4" xfId="14" applyFont="1" applyFill="1" applyBorder="1" applyAlignment="1">
      <alignment horizontal="center" vertical="center" wrapText="1"/>
    </xf>
    <xf numFmtId="0" fontId="39" fillId="0" borderId="3" xfId="14" applyFont="1" applyFill="1" applyBorder="1" applyAlignment="1">
      <alignment horizontal="center" vertical="center" wrapText="1"/>
    </xf>
    <xf numFmtId="0" fontId="44" fillId="0" borderId="0" xfId="14" applyFont="1" applyFill="1" applyAlignment="1">
      <alignment horizontal="center" vertical="center"/>
    </xf>
    <xf numFmtId="0" fontId="44" fillId="0" borderId="0" xfId="14" applyFont="1" applyFill="1" applyAlignment="1">
      <alignment horizontal="center" vertical="center" wrapText="1"/>
    </xf>
    <xf numFmtId="0" fontId="39" fillId="0" borderId="0" xfId="14" applyFont="1" applyFill="1" applyBorder="1" applyAlignment="1">
      <alignment horizontal="center" vertical="center"/>
    </xf>
    <xf numFmtId="0" fontId="41" fillId="14" borderId="3" xfId="14" applyFont="1" applyFill="1" applyBorder="1" applyAlignment="1">
      <alignment horizontal="justify" vertical="center" wrapText="1"/>
    </xf>
    <xf numFmtId="0" fontId="57" fillId="0" borderId="54" xfId="14" applyFont="1" applyFill="1" applyBorder="1" applyAlignment="1">
      <alignment horizontal="center" vertical="center" wrapText="1"/>
    </xf>
    <xf numFmtId="0" fontId="57" fillId="0" borderId="6" xfId="14" applyFont="1" applyFill="1" applyBorder="1" applyAlignment="1">
      <alignment horizontal="center" vertical="center" wrapText="1"/>
    </xf>
    <xf numFmtId="0" fontId="57" fillId="0" borderId="4" xfId="14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30" fillId="14" borderId="3" xfId="14" applyFont="1" applyFill="1" applyBorder="1" applyAlignment="1">
      <alignment horizontal="justify" vertical="center" wrapText="1"/>
    </xf>
    <xf numFmtId="0" fontId="57" fillId="8" borderId="3" xfId="0" applyFont="1" applyFill="1" applyBorder="1" applyAlignment="1">
      <alignment horizontal="center" vertical="center" wrapText="1"/>
    </xf>
    <xf numFmtId="0" fontId="57" fillId="0" borderId="3" xfId="14" applyFont="1" applyFill="1" applyBorder="1" applyAlignment="1">
      <alignment horizontal="center" vertical="center" wrapText="1"/>
    </xf>
    <xf numFmtId="0" fontId="68" fillId="10" borderId="3" xfId="14" applyFont="1" applyFill="1" applyBorder="1" applyAlignment="1">
      <alignment horizontal="center" vertical="center"/>
    </xf>
    <xf numFmtId="0" fontId="68" fillId="10" borderId="3" xfId="14" applyFont="1" applyFill="1" applyBorder="1" applyAlignment="1">
      <alignment horizontal="center" vertical="center" wrapText="1"/>
    </xf>
    <xf numFmtId="0" fontId="67" fillId="0" borderId="0" xfId="14" applyFont="1" applyFill="1" applyAlignment="1">
      <alignment horizontal="center" vertical="center" wrapText="1"/>
    </xf>
    <xf numFmtId="0" fontId="68" fillId="0" borderId="54" xfId="14" applyFont="1" applyFill="1" applyBorder="1" applyAlignment="1">
      <alignment horizontal="center" vertical="center" wrapText="1"/>
    </xf>
    <xf numFmtId="0" fontId="68" fillId="0" borderId="6" xfId="14" applyFont="1" applyFill="1" applyBorder="1" applyAlignment="1">
      <alignment horizontal="center" vertical="center" wrapText="1"/>
    </xf>
    <xf numFmtId="0" fontId="68" fillId="0" borderId="4" xfId="14" applyFont="1" applyFill="1" applyBorder="1" applyAlignment="1">
      <alignment horizontal="center" vertical="center" wrapText="1"/>
    </xf>
    <xf numFmtId="0" fontId="66" fillId="14" borderId="3" xfId="14" applyFont="1" applyFill="1" applyBorder="1" applyAlignment="1">
      <alignment horizontal="justify" vertical="center" wrapText="1"/>
    </xf>
    <xf numFmtId="0" fontId="68" fillId="10" borderId="54" xfId="14" applyFont="1" applyFill="1" applyBorder="1" applyAlignment="1">
      <alignment horizontal="center" vertical="center" wrapText="1"/>
    </xf>
    <xf numFmtId="0" fontId="68" fillId="10" borderId="4" xfId="14" applyFont="1" applyFill="1" applyBorder="1" applyAlignment="1">
      <alignment horizontal="center" vertical="center" wrapText="1"/>
    </xf>
    <xf numFmtId="0" fontId="68" fillId="15" borderId="0" xfId="14" applyFont="1" applyFill="1" applyBorder="1" applyAlignment="1">
      <alignment horizontal="center" vertical="center" wrapText="1"/>
    </xf>
    <xf numFmtId="0" fontId="57" fillId="0" borderId="3" xfId="8" applyFont="1" applyFill="1" applyBorder="1" applyAlignment="1">
      <alignment horizontal="center" vertical="center"/>
    </xf>
    <xf numFmtId="0" fontId="57" fillId="0" borderId="3" xfId="10" applyFont="1" applyFill="1" applyBorder="1" applyAlignment="1">
      <alignment horizontal="center" vertical="center" wrapText="1"/>
    </xf>
    <xf numFmtId="0" fontId="57" fillId="0" borderId="54" xfId="10" applyFont="1" applyFill="1" applyBorder="1" applyAlignment="1">
      <alignment horizontal="center" vertical="center" wrapText="1"/>
    </xf>
    <xf numFmtId="0" fontId="57" fillId="0" borderId="6" xfId="10" applyFont="1" applyFill="1" applyBorder="1" applyAlignment="1">
      <alignment horizontal="center" vertical="center" wrapText="1"/>
    </xf>
    <xf numFmtId="0" fontId="57" fillId="0" borderId="4" xfId="10" applyFont="1" applyFill="1" applyBorder="1" applyAlignment="1">
      <alignment horizontal="center" vertical="center" wrapText="1"/>
    </xf>
    <xf numFmtId="0" fontId="57" fillId="0" borderId="3" xfId="10" applyFont="1" applyFill="1" applyBorder="1" applyAlignment="1">
      <alignment horizontal="center" vertical="center"/>
    </xf>
    <xf numFmtId="0" fontId="57" fillId="0" borderId="67" xfId="10" applyFont="1" applyFill="1" applyBorder="1" applyAlignment="1">
      <alignment horizontal="center" vertical="center"/>
    </xf>
    <xf numFmtId="0" fontId="57" fillId="0" borderId="7" xfId="10" applyFont="1" applyFill="1" applyBorder="1" applyAlignment="1">
      <alignment horizontal="center" vertical="center"/>
    </xf>
    <xf numFmtId="0" fontId="57" fillId="0" borderId="42" xfId="10" applyFont="1" applyFill="1" applyBorder="1" applyAlignment="1">
      <alignment horizontal="center" vertical="center"/>
    </xf>
    <xf numFmtId="0" fontId="30" fillId="0" borderId="3" xfId="8" applyFont="1" applyFill="1" applyBorder="1" applyAlignment="1">
      <alignment horizontal="justify" vertical="center" wrapText="1"/>
    </xf>
    <xf numFmtId="0" fontId="30" fillId="0" borderId="54" xfId="8" applyFont="1" applyFill="1" applyBorder="1" applyAlignment="1">
      <alignment horizontal="left" vertical="center" wrapText="1"/>
    </xf>
    <xf numFmtId="0" fontId="30" fillId="0" borderId="6" xfId="8" applyFont="1" applyFill="1" applyBorder="1" applyAlignment="1">
      <alignment horizontal="left" vertical="center" wrapText="1"/>
    </xf>
    <xf numFmtId="0" fontId="30" fillId="0" borderId="4" xfId="8" applyFont="1" applyFill="1" applyBorder="1" applyAlignment="1">
      <alignment horizontal="left" vertical="center" wrapText="1"/>
    </xf>
    <xf numFmtId="171" fontId="30" fillId="0" borderId="54" xfId="8" applyNumberFormat="1" applyFont="1" applyFill="1" applyBorder="1" applyAlignment="1">
      <alignment horizontal="center" vertical="center"/>
    </xf>
    <xf numFmtId="171" fontId="30" fillId="0" borderId="4" xfId="8" applyNumberFormat="1" applyFont="1" applyFill="1" applyBorder="1" applyAlignment="1">
      <alignment horizontal="center" vertical="center"/>
    </xf>
    <xf numFmtId="0" fontId="57" fillId="0" borderId="54" xfId="8" applyFont="1" applyFill="1" applyBorder="1" applyAlignment="1">
      <alignment horizontal="left" vertical="center"/>
    </xf>
    <xf numFmtId="0" fontId="57" fillId="0" borderId="6" xfId="8" applyFont="1" applyFill="1" applyBorder="1" applyAlignment="1">
      <alignment horizontal="left" vertical="center"/>
    </xf>
    <xf numFmtId="171" fontId="57" fillId="0" borderId="3" xfId="8" applyNumberFormat="1" applyFont="1" applyFill="1" applyBorder="1" applyAlignment="1">
      <alignment horizontal="right" vertical="center"/>
    </xf>
    <xf numFmtId="0" fontId="39" fillId="0" borderId="6" xfId="8" applyFont="1" applyFill="1" applyBorder="1" applyAlignment="1">
      <alignment horizontal="center" vertical="center"/>
    </xf>
    <xf numFmtId="171" fontId="57" fillId="0" borderId="3" xfId="8" applyNumberFormat="1" applyFont="1" applyFill="1" applyBorder="1" applyAlignment="1">
      <alignment horizontal="center" vertical="center"/>
    </xf>
    <xf numFmtId="171" fontId="30" fillId="0" borderId="54" xfId="8" applyNumberFormat="1" applyFont="1" applyFill="1" applyBorder="1" applyAlignment="1">
      <alignment horizontal="right" vertical="center"/>
    </xf>
    <xf numFmtId="171" fontId="30" fillId="0" borderId="4" xfId="8" applyNumberFormat="1" applyFont="1" applyFill="1" applyBorder="1" applyAlignment="1">
      <alignment horizontal="right" vertical="center"/>
    </xf>
    <xf numFmtId="0" fontId="57" fillId="0" borderId="54" xfId="10" applyFont="1" applyFill="1" applyBorder="1" applyAlignment="1">
      <alignment horizontal="center" vertical="center"/>
    </xf>
    <xf numFmtId="0" fontId="57" fillId="0" borderId="6" xfId="10" applyFont="1" applyFill="1" applyBorder="1" applyAlignment="1">
      <alignment horizontal="center" vertical="center"/>
    </xf>
    <xf numFmtId="0" fontId="57" fillId="0" borderId="4" xfId="10" applyFont="1" applyFill="1" applyBorder="1" applyAlignment="1">
      <alignment horizontal="center" vertical="center"/>
    </xf>
    <xf numFmtId="0" fontId="57" fillId="0" borderId="6" xfId="8" applyFont="1" applyFill="1" applyBorder="1" applyAlignment="1">
      <alignment horizontal="center" vertical="center"/>
    </xf>
    <xf numFmtId="0" fontId="57" fillId="0" borderId="4" xfId="8" applyFont="1" applyFill="1" applyBorder="1" applyAlignment="1">
      <alignment horizontal="left" vertical="center"/>
    </xf>
    <xf numFmtId="0" fontId="44" fillId="0" borderId="0" xfId="8" applyFont="1" applyFill="1" applyAlignment="1">
      <alignment horizontal="center" vertical="center"/>
    </xf>
    <xf numFmtId="0" fontId="57" fillId="5" borderId="3" xfId="8" applyFont="1" applyFill="1" applyBorder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57" fillId="0" borderId="54" xfId="8" applyFont="1" applyFill="1" applyBorder="1" applyAlignment="1">
      <alignment horizontal="center" vertical="center"/>
    </xf>
    <xf numFmtId="0" fontId="57" fillId="0" borderId="4" xfId="8" applyFont="1" applyFill="1" applyBorder="1" applyAlignment="1">
      <alignment horizontal="center" vertical="center"/>
    </xf>
    <xf numFmtId="0" fontId="44" fillId="0" borderId="0" xfId="8" applyFont="1" applyAlignment="1">
      <alignment horizontal="center" vertical="center"/>
    </xf>
    <xf numFmtId="0" fontId="44" fillId="0" borderId="0" xfId="8" applyFont="1" applyFill="1" applyBorder="1" applyAlignment="1">
      <alignment horizontal="center" vertical="center"/>
    </xf>
    <xf numFmtId="0" fontId="41" fillId="0" borderId="0" xfId="8" quotePrefix="1" applyFont="1" applyAlignment="1">
      <alignment horizontal="justify" vertical="center" wrapText="1"/>
    </xf>
  </cellXfs>
  <cellStyles count="29">
    <cellStyle name="Bom" xfId="1" builtinId="26"/>
    <cellStyle name="Hiperlink 2" xfId="2"/>
    <cellStyle name="Hiperlink 2 2" xfId="3"/>
    <cellStyle name="Moeda" xfId="4" builtinId="4"/>
    <cellStyle name="Moeda 2" xfId="5"/>
    <cellStyle name="Moeda 2 2" xfId="6"/>
    <cellStyle name="Moeda 3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3" xfId="13"/>
    <cellStyle name="Normal 3 2" xfId="14"/>
    <cellStyle name="Normal 4" xfId="15"/>
    <cellStyle name="Normal 4 2" xfId="16"/>
    <cellStyle name="Normal 5" xfId="17"/>
    <cellStyle name="Porcentagem 2" xfId="18"/>
    <cellStyle name="Porcentagem 2 2" xfId="19"/>
    <cellStyle name="Porcentagem 3" xfId="20"/>
    <cellStyle name="Porcentagem 4" xfId="21"/>
    <cellStyle name="Separador de milhares 2" xfId="22"/>
    <cellStyle name="Separador de milhares 3" xfId="23"/>
    <cellStyle name="Separador de milhares 4" xfId="24"/>
    <cellStyle name="Título 1 1" xfId="25"/>
    <cellStyle name="Título 1 1 1" xfId="26"/>
    <cellStyle name="Vírgula" xfId="27" builtinId="3"/>
    <cellStyle name="Vírgula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lma\Documents\029%20INICIAL%20LANCE%20FINAL%20-%20arredondament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AVISO"/>
      <sheetName val="Dados"/>
      <sheetName val="Proposta"/>
      <sheetName val="Dados Contratação"/>
      <sheetName val="Dados Proponente"/>
      <sheetName val="Insumos"/>
      <sheetName val="Vig Armada - Diurno"/>
      <sheetName val="Vig Armada - Noturno"/>
      <sheetName val="Valor Global"/>
      <sheetName val="Memória VT e VA"/>
      <sheetName val="Memória Desp.Adm"/>
      <sheetName val="Mem. encargos"/>
      <sheetName val="Resumo"/>
      <sheetName val="k"/>
    </sheetNames>
    <sheetDataSet>
      <sheetData sheetId="0">
        <row r="1">
          <cell r="A1" t="str">
            <v>Tipo de Joranda de Trabalho</v>
          </cell>
        </row>
        <row r="2">
          <cell r="A2" t="str">
            <v>Escala 12x36 horas</v>
          </cell>
        </row>
        <row r="3">
          <cell r="A3" t="str">
            <v>44 horas semanais</v>
          </cell>
        </row>
        <row r="4">
          <cell r="A4" t="str">
            <v>40 horas semanais</v>
          </cell>
        </row>
        <row r="5">
          <cell r="A5" t="str">
            <v>36 horas semanais</v>
          </cell>
        </row>
        <row r="6">
          <cell r="A6" t="str">
            <v>30 horas semanais</v>
          </cell>
        </row>
        <row r="7">
          <cell r="A7" t="str">
            <v>15 horas semanais (TQQ)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8" tint="0.79998168889431442"/>
  </sheetPr>
  <dimension ref="A1:II121"/>
  <sheetViews>
    <sheetView view="pageBreakPreview" topLeftCell="C40" zoomScale="90" zoomScaleNormal="100" zoomScaleSheetLayoutView="90" workbookViewId="0">
      <selection activeCell="C76" sqref="A76:IV76"/>
    </sheetView>
  </sheetViews>
  <sheetFormatPr defaultRowHeight="15.75" x14ac:dyDescent="0.2"/>
  <cols>
    <col min="1" max="1" width="14.28515625" style="44" customWidth="1"/>
    <col min="2" max="2" width="38.140625" style="332" customWidth="1"/>
    <col min="3" max="3" width="29.7109375" style="332" customWidth="1"/>
    <col min="4" max="4" width="19.140625" style="332" customWidth="1"/>
    <col min="5" max="5" width="11.85546875" style="44" customWidth="1"/>
    <col min="6" max="6" width="19" style="44" customWidth="1"/>
    <col min="7" max="7" width="11.7109375" style="44" customWidth="1"/>
    <col min="8" max="8" width="17.7109375" style="44" customWidth="1"/>
    <col min="9" max="9" width="73.42578125" style="44" customWidth="1"/>
    <col min="10" max="11" width="11.85546875" style="44" customWidth="1"/>
    <col min="12" max="12" width="21" style="44" bestFit="1" customWidth="1"/>
    <col min="13" max="13" width="16.5703125" style="44" customWidth="1"/>
    <col min="14" max="14" width="14.42578125" style="49" customWidth="1"/>
    <col min="15" max="15" width="14.140625" style="49" bestFit="1" customWidth="1"/>
    <col min="16" max="16" width="13.140625" style="49" bestFit="1" customWidth="1"/>
    <col min="17" max="39" width="9.140625" style="49"/>
    <col min="40" max="16384" width="9.140625" style="43"/>
  </cols>
  <sheetData>
    <row r="1" spans="1:13" ht="15" x14ac:dyDescent="0.2">
      <c r="A1" s="117" t="s">
        <v>332</v>
      </c>
      <c r="B1" s="306"/>
      <c r="C1" s="250"/>
      <c r="D1" s="323"/>
      <c r="E1" s="120"/>
      <c r="F1" s="724" t="s">
        <v>388</v>
      </c>
      <c r="G1" s="724"/>
      <c r="H1" s="724"/>
      <c r="I1" s="724"/>
      <c r="J1" s="120"/>
      <c r="K1" s="120"/>
      <c r="L1" s="681"/>
      <c r="M1" s="681"/>
    </row>
    <row r="2" spans="1:13" thickBot="1" x14ac:dyDescent="0.25">
      <c r="A2" s="117"/>
      <c r="B2" s="306"/>
      <c r="C2" s="250"/>
      <c r="D2" s="333"/>
      <c r="E2" s="120"/>
      <c r="F2" s="120"/>
      <c r="G2" s="120"/>
      <c r="H2" s="120"/>
      <c r="I2" s="120"/>
      <c r="J2" s="121" t="s">
        <v>380</v>
      </c>
      <c r="K2" s="121"/>
      <c r="L2" s="122">
        <v>1281417.21</v>
      </c>
      <c r="M2" s="123">
        <f>L67-L2</f>
        <v>38370.629999999997</v>
      </c>
    </row>
    <row r="3" spans="1:13" ht="15" x14ac:dyDescent="0.2">
      <c r="A3" s="301" t="s">
        <v>303</v>
      </c>
      <c r="B3" s="307"/>
      <c r="C3" s="690" t="s">
        <v>227</v>
      </c>
      <c r="D3" s="691"/>
      <c r="E3" s="124"/>
      <c r="F3" s="125"/>
      <c r="G3" s="125"/>
      <c r="H3" s="126"/>
      <c r="I3" s="126"/>
      <c r="J3" s="126"/>
      <c r="K3" s="126"/>
      <c r="L3" s="126"/>
      <c r="M3" s="126"/>
    </row>
    <row r="4" spans="1:13" ht="15" x14ac:dyDescent="0.2">
      <c r="A4" s="302" t="s">
        <v>41</v>
      </c>
      <c r="B4" s="308"/>
      <c r="C4" s="682">
        <v>42788</v>
      </c>
      <c r="D4" s="683"/>
      <c r="E4" s="128">
        <v>42809</v>
      </c>
      <c r="F4" s="118"/>
      <c r="G4" s="118"/>
      <c r="H4" s="126"/>
      <c r="I4" s="126"/>
      <c r="J4" s="126"/>
      <c r="K4" s="126"/>
      <c r="L4" s="126"/>
      <c r="M4" s="126"/>
    </row>
    <row r="5" spans="1:13" ht="15" x14ac:dyDescent="0.2">
      <c r="A5" s="302" t="s">
        <v>43</v>
      </c>
      <c r="B5" s="308"/>
      <c r="C5" s="684" t="s">
        <v>44</v>
      </c>
      <c r="D5" s="685"/>
      <c r="E5" s="128"/>
      <c r="F5" s="118"/>
      <c r="G5" s="118"/>
      <c r="H5" s="126"/>
      <c r="I5" s="126"/>
      <c r="J5" s="126"/>
      <c r="K5" s="126"/>
      <c r="L5" s="126"/>
      <c r="M5" s="126"/>
    </row>
    <row r="6" spans="1:13" ht="15" x14ac:dyDescent="0.2">
      <c r="A6" s="302" t="s">
        <v>46</v>
      </c>
      <c r="B6" s="308"/>
      <c r="C6" s="684" t="s">
        <v>207</v>
      </c>
      <c r="D6" s="685"/>
      <c r="E6" s="128"/>
      <c r="F6" s="118"/>
      <c r="G6" s="118"/>
      <c r="H6" s="126"/>
      <c r="I6" s="126"/>
      <c r="J6" s="126"/>
      <c r="K6" s="126"/>
      <c r="L6" s="126"/>
      <c r="M6" s="126"/>
    </row>
    <row r="7" spans="1:13" ht="15" x14ac:dyDescent="0.2">
      <c r="A7" s="302" t="s">
        <v>48</v>
      </c>
      <c r="B7" s="308"/>
      <c r="C7" s="686">
        <f>J76</f>
        <v>8</v>
      </c>
      <c r="D7" s="687"/>
      <c r="E7" s="129"/>
      <c r="F7" s="130"/>
      <c r="G7" s="130"/>
      <c r="H7" s="126"/>
      <c r="I7" s="126"/>
      <c r="J7" s="126"/>
      <c r="K7" s="126"/>
      <c r="L7" s="126"/>
      <c r="M7" s="126"/>
    </row>
    <row r="8" spans="1:13" ht="15" x14ac:dyDescent="0.2">
      <c r="A8" s="302" t="s">
        <v>99</v>
      </c>
      <c r="B8" s="309" t="s">
        <v>302</v>
      </c>
      <c r="C8" s="707" t="s">
        <v>208</v>
      </c>
      <c r="D8" s="708"/>
      <c r="E8" s="131"/>
      <c r="F8" s="132"/>
      <c r="G8" s="132"/>
      <c r="H8" s="117"/>
      <c r="I8" s="133"/>
      <c r="J8" s="133"/>
      <c r="K8" s="134"/>
      <c r="L8" s="134"/>
      <c r="M8" s="134"/>
    </row>
    <row r="9" spans="1:13" ht="15" x14ac:dyDescent="0.2">
      <c r="A9" s="302" t="s">
        <v>209</v>
      </c>
      <c r="B9" s="308"/>
      <c r="C9" s="688">
        <v>320004</v>
      </c>
      <c r="D9" s="689"/>
      <c r="E9" s="131"/>
      <c r="F9" s="132"/>
      <c r="G9" s="132"/>
      <c r="H9" s="117"/>
      <c r="I9" s="133"/>
      <c r="J9" s="133"/>
      <c r="K9" s="134"/>
      <c r="L9" s="134"/>
      <c r="M9" s="134"/>
    </row>
    <row r="10" spans="1:13" ht="15" x14ac:dyDescent="0.2">
      <c r="A10" s="303" t="s">
        <v>42</v>
      </c>
      <c r="B10" s="308"/>
      <c r="C10" s="692">
        <v>0.41666666666666702</v>
      </c>
      <c r="D10" s="693"/>
      <c r="E10" s="135"/>
      <c r="F10" s="136"/>
      <c r="G10" s="136"/>
      <c r="H10" s="117"/>
      <c r="I10" s="133"/>
      <c r="J10" s="133"/>
      <c r="K10" s="134"/>
      <c r="L10" s="134"/>
      <c r="M10" s="134"/>
    </row>
    <row r="11" spans="1:13" ht="15" x14ac:dyDescent="0.2">
      <c r="A11" s="303" t="s">
        <v>45</v>
      </c>
      <c r="B11" s="308"/>
      <c r="C11" s="698" t="s">
        <v>156</v>
      </c>
      <c r="D11" s="699"/>
      <c r="E11" s="137" t="s">
        <v>210</v>
      </c>
      <c r="F11" s="138"/>
      <c r="G11" s="138"/>
      <c r="H11" s="117"/>
      <c r="I11" s="133"/>
      <c r="J11" s="133"/>
      <c r="K11" s="134"/>
      <c r="L11" s="134"/>
      <c r="M11" s="134"/>
    </row>
    <row r="12" spans="1:13" ht="15" x14ac:dyDescent="0.2">
      <c r="A12" s="304" t="s">
        <v>47</v>
      </c>
      <c r="B12" s="310"/>
      <c r="C12" s="700" t="s">
        <v>98</v>
      </c>
      <c r="D12" s="701"/>
      <c r="E12" s="140"/>
      <c r="F12" s="125"/>
      <c r="G12" s="125"/>
      <c r="H12" s="117"/>
      <c r="I12" s="133"/>
      <c r="J12" s="133"/>
      <c r="K12" s="134"/>
      <c r="L12" s="134"/>
      <c r="M12" s="134"/>
    </row>
    <row r="13" spans="1:13" thickBot="1" x14ac:dyDescent="0.25">
      <c r="A13" s="305" t="s">
        <v>49</v>
      </c>
      <c r="B13" s="311"/>
      <c r="C13" s="694">
        <v>12</v>
      </c>
      <c r="D13" s="695"/>
      <c r="E13" s="140"/>
      <c r="F13" s="125"/>
      <c r="G13" s="125"/>
      <c r="H13" s="117"/>
      <c r="I13" s="133"/>
      <c r="J13" s="133"/>
      <c r="K13" s="134"/>
      <c r="L13" s="134"/>
      <c r="M13" s="134"/>
    </row>
    <row r="14" spans="1:13" ht="15" x14ac:dyDescent="0.2">
      <c r="A14" s="120"/>
      <c r="B14" s="261"/>
      <c r="C14" s="334"/>
      <c r="D14" s="335"/>
      <c r="E14" s="142"/>
      <c r="F14" s="130"/>
      <c r="G14" s="130"/>
      <c r="H14" s="117"/>
      <c r="I14" s="133"/>
      <c r="J14" s="133"/>
      <c r="K14" s="134"/>
      <c r="L14" s="134"/>
      <c r="M14" s="134"/>
    </row>
    <row r="15" spans="1:13" thickBot="1" x14ac:dyDescent="0.25">
      <c r="A15" s="118"/>
      <c r="B15" s="306"/>
      <c r="C15" s="306"/>
      <c r="D15" s="306"/>
      <c r="E15" s="118"/>
      <c r="F15" s="118"/>
      <c r="G15" s="118"/>
      <c r="H15" s="118"/>
      <c r="I15" s="118"/>
      <c r="J15" s="118"/>
      <c r="K15" s="118"/>
      <c r="L15" s="118"/>
      <c r="M15" s="125"/>
    </row>
    <row r="16" spans="1:13" ht="15" x14ac:dyDescent="0.2">
      <c r="A16" s="662" t="s">
        <v>211</v>
      </c>
      <c r="B16" s="663"/>
      <c r="C16" s="663"/>
      <c r="D16" s="663"/>
      <c r="E16" s="663"/>
      <c r="F16" s="663"/>
      <c r="G16" s="663"/>
      <c r="H16" s="663"/>
      <c r="I16" s="663"/>
      <c r="J16" s="663"/>
      <c r="K16" s="663"/>
      <c r="L16" s="663"/>
      <c r="M16" s="664"/>
    </row>
    <row r="17" spans="1:13" ht="15" x14ac:dyDescent="0.2">
      <c r="A17" s="674" t="s">
        <v>304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6"/>
    </row>
    <row r="18" spans="1:13" ht="15" x14ac:dyDescent="0.2">
      <c r="A18" s="723" t="s">
        <v>212</v>
      </c>
      <c r="B18" s="724"/>
      <c r="C18" s="724"/>
      <c r="D18" s="724"/>
      <c r="E18" s="724"/>
      <c r="F18" s="724"/>
      <c r="G18" s="724"/>
      <c r="H18" s="724"/>
      <c r="I18" s="724"/>
      <c r="J18" s="724"/>
      <c r="K18" s="724"/>
      <c r="L18" s="724"/>
      <c r="M18" s="725"/>
    </row>
    <row r="19" spans="1:13" thickBot="1" x14ac:dyDescent="0.25">
      <c r="A19" s="702" t="s">
        <v>213</v>
      </c>
      <c r="B19" s="703"/>
      <c r="C19" s="703"/>
      <c r="D19" s="703"/>
      <c r="E19" s="703"/>
      <c r="F19" s="703"/>
      <c r="G19" s="703"/>
      <c r="H19" s="703"/>
      <c r="I19" s="703"/>
      <c r="J19" s="703"/>
      <c r="K19" s="703"/>
      <c r="L19" s="703"/>
      <c r="M19" s="704"/>
    </row>
    <row r="20" spans="1:13" ht="15" x14ac:dyDescent="0.2">
      <c r="A20" s="81"/>
      <c r="B20" s="312"/>
      <c r="C20" s="312"/>
      <c r="D20" s="312"/>
      <c r="E20" s="81"/>
      <c r="F20" s="81"/>
      <c r="G20" s="81"/>
      <c r="H20" s="81"/>
      <c r="I20" s="81"/>
      <c r="J20" s="81"/>
      <c r="K20" s="138" t="s">
        <v>51</v>
      </c>
      <c r="L20" s="138"/>
      <c r="M20" s="138"/>
    </row>
    <row r="21" spans="1:13" thickBot="1" x14ac:dyDescent="0.25">
      <c r="A21" s="81"/>
      <c r="B21" s="312"/>
      <c r="C21" s="312"/>
      <c r="D21" s="312"/>
      <c r="E21" s="81"/>
      <c r="F21" s="102"/>
      <c r="G21" s="102"/>
      <c r="H21" s="102"/>
      <c r="I21" s="102"/>
      <c r="J21" s="102"/>
      <c r="K21" s="138"/>
      <c r="L21" s="138"/>
      <c r="M21" s="138"/>
    </row>
    <row r="22" spans="1:13" thickBot="1" x14ac:dyDescent="0.25">
      <c r="A22" s="298" t="s">
        <v>50</v>
      </c>
      <c r="B22" s="313"/>
      <c r="C22" s="336"/>
      <c r="D22" s="337">
        <v>0</v>
      </c>
      <c r="E22" s="145"/>
      <c r="F22" s="125"/>
      <c r="G22" s="125"/>
      <c r="H22" s="146"/>
      <c r="I22" s="146"/>
      <c r="J22" s="147"/>
      <c r="K22" s="138"/>
      <c r="L22" s="138"/>
      <c r="M22" s="138"/>
    </row>
    <row r="23" spans="1:13" thickBot="1" x14ac:dyDescent="0.25">
      <c r="A23" s="297" t="s">
        <v>52</v>
      </c>
      <c r="B23" s="308"/>
      <c r="C23" s="338"/>
      <c r="D23" s="339">
        <f>C118</f>
        <v>0.73460000000000003</v>
      </c>
      <c r="E23" s="145" t="s">
        <v>293</v>
      </c>
      <c r="F23" s="149" t="s">
        <v>292</v>
      </c>
      <c r="G23" s="150">
        <v>1888.29</v>
      </c>
      <c r="H23" s="151"/>
      <c r="I23" s="119"/>
      <c r="J23" s="152" t="s">
        <v>289</v>
      </c>
      <c r="K23" s="153" t="s">
        <v>242</v>
      </c>
      <c r="L23" s="154">
        <v>15.5</v>
      </c>
      <c r="M23" s="155" t="s">
        <v>53</v>
      </c>
    </row>
    <row r="24" spans="1:13" thickBot="1" x14ac:dyDescent="0.25">
      <c r="A24" s="299" t="s">
        <v>314</v>
      </c>
      <c r="B24" s="308"/>
      <c r="C24" s="338"/>
      <c r="D24" s="340">
        <v>0.2</v>
      </c>
      <c r="E24" s="157"/>
      <c r="F24" s="158"/>
      <c r="G24" s="159"/>
      <c r="H24" s="160"/>
      <c r="I24" s="161"/>
      <c r="J24" s="152" t="s">
        <v>290</v>
      </c>
      <c r="K24" s="153" t="s">
        <v>291</v>
      </c>
      <c r="L24" s="162">
        <v>20.5</v>
      </c>
      <c r="M24" s="163" t="s">
        <v>53</v>
      </c>
    </row>
    <row r="25" spans="1:13" ht="15" x14ac:dyDescent="0.2">
      <c r="A25" s="299" t="s">
        <v>313</v>
      </c>
      <c r="B25" s="308"/>
      <c r="C25" s="338"/>
      <c r="D25" s="341">
        <v>0.3</v>
      </c>
      <c r="E25" s="125"/>
      <c r="F25" s="125"/>
      <c r="G25" s="125"/>
      <c r="H25" s="146"/>
      <c r="I25" s="146"/>
      <c r="J25" s="147"/>
      <c r="K25" s="138"/>
      <c r="L25" s="164" t="s">
        <v>279</v>
      </c>
      <c r="M25" s="121"/>
    </row>
    <row r="26" spans="1:13" ht="15" x14ac:dyDescent="0.2">
      <c r="A26" s="299" t="s">
        <v>179</v>
      </c>
      <c r="B26" s="308"/>
      <c r="C26" s="338"/>
      <c r="D26" s="341">
        <v>0.1</v>
      </c>
      <c r="E26" s="125"/>
      <c r="F26" s="125"/>
      <c r="G26" s="125"/>
      <c r="H26" s="146"/>
      <c r="I26" s="146"/>
      <c r="J26" s="146"/>
      <c r="K26" s="125"/>
      <c r="L26" s="165"/>
      <c r="M26" s="166"/>
    </row>
    <row r="27" spans="1:13" ht="23.25" customHeight="1" x14ac:dyDescent="0.2">
      <c r="A27" s="773" t="s">
        <v>396</v>
      </c>
      <c r="B27" s="774"/>
      <c r="C27" s="775"/>
      <c r="D27" s="672">
        <v>1.5</v>
      </c>
      <c r="E27" s="125"/>
      <c r="F27" s="125"/>
      <c r="G27" s="125"/>
      <c r="H27" s="146"/>
      <c r="I27" s="146"/>
      <c r="J27" s="146"/>
      <c r="K27" s="125"/>
      <c r="L27" s="165"/>
      <c r="M27" s="166"/>
    </row>
    <row r="28" spans="1:13" thickBot="1" x14ac:dyDescent="0.25">
      <c r="A28" s="299" t="s">
        <v>397</v>
      </c>
      <c r="B28" s="308"/>
      <c r="C28" s="338"/>
      <c r="D28" s="673"/>
      <c r="E28" s="125"/>
      <c r="F28" s="125"/>
      <c r="G28" s="125"/>
      <c r="H28" s="146"/>
      <c r="I28" s="146"/>
      <c r="J28" s="146"/>
      <c r="K28" s="125"/>
      <c r="L28" s="165"/>
      <c r="M28" s="166"/>
    </row>
    <row r="29" spans="1:13" thickBot="1" x14ac:dyDescent="0.25">
      <c r="A29" s="300" t="s">
        <v>224</v>
      </c>
      <c r="B29" s="314"/>
      <c r="C29" s="314"/>
      <c r="D29" s="342">
        <v>9</v>
      </c>
      <c r="E29" s="157" t="s">
        <v>365</v>
      </c>
      <c r="F29" s="125"/>
      <c r="G29" s="125"/>
      <c r="H29" s="146"/>
      <c r="I29" s="146"/>
      <c r="J29" s="146"/>
      <c r="K29" s="125"/>
      <c r="L29" s="713" t="s">
        <v>175</v>
      </c>
      <c r="M29" s="714"/>
    </row>
    <row r="30" spans="1:13" ht="15" x14ac:dyDescent="0.2">
      <c r="A30" s="125"/>
      <c r="B30" s="261"/>
      <c r="C30" s="261"/>
      <c r="D30" s="261"/>
      <c r="E30" s="125"/>
      <c r="F30" s="125"/>
      <c r="G30" s="125"/>
      <c r="H30" s="146"/>
      <c r="I30" s="146"/>
      <c r="J30" s="146"/>
      <c r="K30" s="125"/>
      <c r="L30" s="168" t="s">
        <v>176</v>
      </c>
      <c r="M30" s="169">
        <v>5</v>
      </c>
    </row>
    <row r="31" spans="1:13" thickBot="1" x14ac:dyDescent="0.25">
      <c r="A31" s="125"/>
      <c r="B31" s="261"/>
      <c r="C31" s="261"/>
      <c r="D31" s="261"/>
      <c r="E31" s="125"/>
      <c r="F31" s="125"/>
      <c r="G31" s="125"/>
      <c r="H31" s="146"/>
      <c r="I31" s="146"/>
      <c r="J31" s="146"/>
      <c r="K31" s="125"/>
      <c r="L31" s="170" t="s">
        <v>177</v>
      </c>
      <c r="M31" s="171">
        <v>0</v>
      </c>
    </row>
    <row r="32" spans="1:13" thickBot="1" x14ac:dyDescent="0.25">
      <c r="A32" s="172" t="s">
        <v>54</v>
      </c>
      <c r="B32" s="315"/>
      <c r="C32" s="315"/>
      <c r="D32" s="315"/>
      <c r="E32" s="141"/>
      <c r="F32" s="167"/>
      <c r="G32" s="118"/>
      <c r="H32" s="173"/>
      <c r="I32" s="174"/>
      <c r="J32" s="174"/>
      <c r="K32" s="174"/>
      <c r="L32" s="164" t="s">
        <v>279</v>
      </c>
      <c r="M32" s="119"/>
    </row>
    <row r="33" spans="1:16" ht="15.75" customHeight="1" x14ac:dyDescent="0.2">
      <c r="A33" s="175" t="s">
        <v>381</v>
      </c>
      <c r="B33" s="316"/>
      <c r="C33" s="316"/>
      <c r="D33" s="343"/>
      <c r="E33" s="782">
        <f>M30+M31</f>
        <v>5</v>
      </c>
      <c r="F33" s="780">
        <f>E33*2</f>
        <v>10</v>
      </c>
      <c r="G33" s="176" t="s">
        <v>222</v>
      </c>
      <c r="H33" s="177"/>
      <c r="I33" s="177"/>
      <c r="J33" s="177"/>
      <c r="K33" s="177"/>
      <c r="L33" s="119"/>
      <c r="M33" s="119"/>
    </row>
    <row r="34" spans="1:16" ht="15.75" customHeight="1" x14ac:dyDescent="0.2">
      <c r="A34" s="156" t="s">
        <v>382</v>
      </c>
      <c r="B34" s="257"/>
      <c r="C34" s="257"/>
      <c r="D34" s="344"/>
      <c r="E34" s="783"/>
      <c r="F34" s="781"/>
      <c r="G34" s="176"/>
      <c r="H34" s="177"/>
      <c r="I34" s="177"/>
      <c r="J34" s="177"/>
      <c r="K34" s="177"/>
      <c r="L34" s="119"/>
      <c r="M34" s="119"/>
    </row>
    <row r="35" spans="1:16" thickBot="1" x14ac:dyDescent="0.25">
      <c r="A35" s="178" t="s">
        <v>55</v>
      </c>
      <c r="B35" s="261"/>
      <c r="C35" s="261"/>
      <c r="D35" s="261"/>
      <c r="E35" s="125"/>
      <c r="F35" s="179">
        <v>0.06</v>
      </c>
      <c r="G35" s="176"/>
      <c r="H35" s="177"/>
      <c r="I35" s="177"/>
      <c r="J35" s="177"/>
      <c r="K35" s="177"/>
      <c r="L35" s="119"/>
      <c r="M35" s="119"/>
    </row>
    <row r="36" spans="1:16" thickBot="1" x14ac:dyDescent="0.25">
      <c r="A36" s="711" t="s">
        <v>161</v>
      </c>
      <c r="B36" s="712"/>
      <c r="C36" s="712"/>
      <c r="D36" s="712"/>
      <c r="E36" s="712"/>
      <c r="F36" s="180" t="str">
        <f>H82</f>
        <v>SINDESV/SINDESP-DF</v>
      </c>
      <c r="G36" s="181"/>
      <c r="H36" s="119"/>
      <c r="I36" s="182"/>
      <c r="J36" s="182"/>
      <c r="K36" s="183"/>
      <c r="L36" s="119"/>
      <c r="M36" s="119"/>
    </row>
    <row r="37" spans="1:16" ht="15" x14ac:dyDescent="0.2">
      <c r="A37" s="184" t="s">
        <v>285</v>
      </c>
      <c r="B37" s="317"/>
      <c r="C37" s="345"/>
      <c r="D37" s="317"/>
      <c r="E37" s="144"/>
      <c r="F37" s="741">
        <v>32</v>
      </c>
      <c r="G37" s="181"/>
      <c r="H37" s="119"/>
      <c r="I37" s="182"/>
      <c r="J37" s="182"/>
      <c r="K37" s="183"/>
      <c r="L37" s="119"/>
      <c r="M37" s="119"/>
    </row>
    <row r="38" spans="1:16" thickBot="1" x14ac:dyDescent="0.25">
      <c r="A38" s="185" t="s">
        <v>319</v>
      </c>
      <c r="B38" s="318"/>
      <c r="C38" s="346"/>
      <c r="D38" s="318"/>
      <c r="E38" s="186"/>
      <c r="F38" s="742"/>
      <c r="G38" s="181"/>
      <c r="H38" s="119"/>
      <c r="I38" s="182"/>
      <c r="J38" s="182"/>
      <c r="K38" s="183"/>
      <c r="L38" s="119"/>
      <c r="M38" s="119"/>
    </row>
    <row r="39" spans="1:16" ht="16.5" thickTop="1" thickBot="1" x14ac:dyDescent="0.25">
      <c r="A39" s="187" t="s">
        <v>318</v>
      </c>
      <c r="B39" s="319"/>
      <c r="C39" s="319"/>
      <c r="D39" s="319"/>
      <c r="E39" s="139"/>
      <c r="F39" s="188">
        <v>14</v>
      </c>
      <c r="G39" s="189"/>
      <c r="H39" s="119"/>
      <c r="I39" s="190"/>
      <c r="J39" s="190"/>
      <c r="K39" s="125"/>
      <c r="L39" s="119"/>
      <c r="M39" s="119"/>
    </row>
    <row r="40" spans="1:16" ht="15.75" customHeight="1" x14ac:dyDescent="0.2">
      <c r="A40" s="148" t="s">
        <v>282</v>
      </c>
      <c r="B40" s="257"/>
      <c r="C40" s="257"/>
      <c r="D40" s="257"/>
      <c r="E40" s="127"/>
      <c r="F40" s="191"/>
      <c r="G40" s="177" t="s">
        <v>283</v>
      </c>
      <c r="H40" s="119"/>
      <c r="I40" s="190"/>
      <c r="J40" s="787" t="s">
        <v>286</v>
      </c>
      <c r="K40" s="192" t="s">
        <v>201</v>
      </c>
      <c r="L40" s="193">
        <v>10.25</v>
      </c>
      <c r="M40" s="747" t="s">
        <v>284</v>
      </c>
    </row>
    <row r="41" spans="1:16" thickBot="1" x14ac:dyDescent="0.25">
      <c r="A41" s="194" t="s">
        <v>281</v>
      </c>
      <c r="B41" s="320"/>
      <c r="C41" s="320"/>
      <c r="D41" s="320"/>
      <c r="E41" s="195"/>
      <c r="F41" s="191">
        <v>1.8</v>
      </c>
      <c r="G41" s="177" t="s">
        <v>287</v>
      </c>
      <c r="H41" s="119"/>
      <c r="I41" s="190"/>
      <c r="J41" s="788"/>
      <c r="K41" s="196" t="s">
        <v>199</v>
      </c>
      <c r="L41" s="197">
        <v>12.22</v>
      </c>
      <c r="M41" s="748"/>
    </row>
    <row r="42" spans="1:16" thickBot="1" x14ac:dyDescent="0.25">
      <c r="A42" s="198" t="s">
        <v>321</v>
      </c>
      <c r="B42" s="321"/>
      <c r="C42" s="347"/>
      <c r="D42" s="347"/>
      <c r="E42" s="199"/>
      <c r="F42" s="200">
        <v>12.08</v>
      </c>
      <c r="G42" s="177" t="s">
        <v>288</v>
      </c>
      <c r="H42" s="201"/>
      <c r="I42" s="202"/>
      <c r="J42" s="202"/>
      <c r="K42" s="202"/>
      <c r="L42" s="125"/>
      <c r="M42" s="125"/>
    </row>
    <row r="43" spans="1:16" ht="8.25" customHeight="1" thickBot="1" x14ac:dyDescent="0.25">
      <c r="A43" s="784"/>
      <c r="B43" s="785"/>
      <c r="C43" s="785"/>
      <c r="D43" s="785"/>
      <c r="E43" s="785"/>
      <c r="F43" s="786"/>
      <c r="G43" s="203"/>
      <c r="H43" s="202"/>
      <c r="I43" s="202"/>
      <c r="J43" s="202"/>
      <c r="K43" s="202"/>
      <c r="L43" s="125"/>
      <c r="M43" s="125"/>
      <c r="N43" s="45"/>
      <c r="O43" s="45"/>
      <c r="P43" s="45"/>
    </row>
    <row r="44" spans="1:16" ht="15" x14ac:dyDescent="0.2">
      <c r="A44" s="715" t="s">
        <v>320</v>
      </c>
      <c r="B44" s="716"/>
      <c r="C44" s="716"/>
      <c r="D44" s="716"/>
      <c r="E44" s="717"/>
      <c r="F44" s="721">
        <v>0</v>
      </c>
      <c r="G44" s="746" t="s">
        <v>280</v>
      </c>
      <c r="H44" s="746"/>
      <c r="I44" s="746"/>
      <c r="J44" s="746"/>
      <c r="K44" s="746"/>
      <c r="L44" s="746"/>
      <c r="M44" s="746"/>
      <c r="N44" s="45"/>
      <c r="O44" s="45"/>
      <c r="P44" s="45"/>
    </row>
    <row r="45" spans="1:16" ht="15" x14ac:dyDescent="0.2">
      <c r="A45" s="718"/>
      <c r="B45" s="719"/>
      <c r="C45" s="719"/>
      <c r="D45" s="719"/>
      <c r="E45" s="720"/>
      <c r="F45" s="722"/>
      <c r="G45" s="746"/>
      <c r="H45" s="746"/>
      <c r="I45" s="746"/>
      <c r="J45" s="746"/>
      <c r="K45" s="746"/>
      <c r="L45" s="746"/>
      <c r="M45" s="746"/>
      <c r="N45" s="45"/>
      <c r="O45" s="45"/>
      <c r="P45" s="45"/>
    </row>
    <row r="46" spans="1:16" ht="15" x14ac:dyDescent="0.2">
      <c r="A46" s="718" t="s">
        <v>317</v>
      </c>
      <c r="B46" s="719"/>
      <c r="C46" s="719"/>
      <c r="D46" s="719"/>
      <c r="E46" s="720"/>
      <c r="F46" s="722">
        <v>0</v>
      </c>
      <c r="G46" s="789" t="s">
        <v>294</v>
      </c>
      <c r="H46" s="789"/>
      <c r="I46" s="789"/>
      <c r="J46" s="789"/>
      <c r="K46" s="789"/>
      <c r="L46" s="789"/>
      <c r="M46" s="789"/>
      <c r="N46" s="45"/>
      <c r="O46" s="45"/>
      <c r="P46" s="45"/>
    </row>
    <row r="47" spans="1:16" ht="15" x14ac:dyDescent="0.2">
      <c r="A47" s="718"/>
      <c r="B47" s="719"/>
      <c r="C47" s="719"/>
      <c r="D47" s="719"/>
      <c r="E47" s="720"/>
      <c r="F47" s="722"/>
      <c r="G47" s="789"/>
      <c r="H47" s="789"/>
      <c r="I47" s="789"/>
      <c r="J47" s="789"/>
      <c r="K47" s="789"/>
      <c r="L47" s="789"/>
      <c r="M47" s="789"/>
      <c r="N47" s="45"/>
      <c r="O47" s="45"/>
      <c r="P47" s="45"/>
    </row>
    <row r="48" spans="1:16" thickBot="1" x14ac:dyDescent="0.25">
      <c r="A48" s="749"/>
      <c r="B48" s="750"/>
      <c r="C48" s="750"/>
      <c r="D48" s="750"/>
      <c r="E48" s="751"/>
      <c r="F48" s="752"/>
      <c r="G48" s="789"/>
      <c r="H48" s="789"/>
      <c r="I48" s="789"/>
      <c r="J48" s="789"/>
      <c r="K48" s="789"/>
      <c r="L48" s="789"/>
      <c r="M48" s="789"/>
      <c r="N48" s="45"/>
      <c r="O48" s="45"/>
      <c r="P48" s="45"/>
    </row>
    <row r="49" spans="1:16" ht="15" x14ac:dyDescent="0.2">
      <c r="A49" s="204"/>
      <c r="B49" s="261"/>
      <c r="C49" s="261"/>
      <c r="D49" s="261"/>
      <c r="E49" s="125"/>
      <c r="F49" s="205"/>
      <c r="G49" s="203"/>
      <c r="H49" s="202"/>
      <c r="I49" s="202"/>
      <c r="J49" s="202"/>
      <c r="K49" s="202"/>
      <c r="L49" s="125"/>
      <c r="M49" s="125"/>
      <c r="N49" s="45"/>
      <c r="O49" s="45"/>
      <c r="P49" s="45"/>
    </row>
    <row r="50" spans="1:16" ht="15" x14ac:dyDescent="0.2">
      <c r="A50" s="204"/>
      <c r="B50" s="261"/>
      <c r="C50" s="261"/>
      <c r="D50" s="261"/>
      <c r="E50" s="125"/>
      <c r="F50" s="205"/>
      <c r="G50" s="203"/>
      <c r="H50" s="202"/>
      <c r="I50" s="202"/>
      <c r="J50" s="202"/>
      <c r="K50" s="202"/>
      <c r="L50" s="125"/>
      <c r="M50" s="125"/>
      <c r="N50" s="45"/>
      <c r="O50" s="45"/>
      <c r="P50" s="45"/>
    </row>
    <row r="51" spans="1:16" ht="15" x14ac:dyDescent="0.2">
      <c r="A51" s="204"/>
      <c r="B51" s="261"/>
      <c r="C51" s="261"/>
      <c r="D51" s="261"/>
      <c r="E51" s="125"/>
      <c r="F51" s="205"/>
      <c r="G51" s="203"/>
      <c r="H51" s="202"/>
      <c r="I51" s="202"/>
      <c r="J51" s="202"/>
      <c r="K51" s="202"/>
      <c r="L51" s="126"/>
      <c r="M51" s="125"/>
      <c r="N51" s="45"/>
      <c r="O51" s="45"/>
      <c r="P51" s="45"/>
    </row>
    <row r="52" spans="1:16" thickBot="1" x14ac:dyDescent="0.25">
      <c r="A52" s="206" t="s">
        <v>56</v>
      </c>
      <c r="B52" s="261"/>
      <c r="C52" s="261"/>
      <c r="D52" s="261"/>
      <c r="E52" s="125"/>
      <c r="F52" s="205"/>
      <c r="G52" s="203"/>
      <c r="H52" s="207"/>
      <c r="I52" s="202"/>
      <c r="J52" s="126"/>
      <c r="K52" s="126"/>
      <c r="L52" s="126"/>
      <c r="M52" s="125"/>
      <c r="N52" s="46"/>
      <c r="O52" s="46"/>
      <c r="P52" s="46"/>
    </row>
    <row r="53" spans="1:16" ht="15" x14ac:dyDescent="0.2">
      <c r="A53" s="753" t="s">
        <v>125</v>
      </c>
      <c r="B53" s="754"/>
      <c r="C53" s="755"/>
      <c r="D53" s="348">
        <v>1.59</v>
      </c>
      <c r="E53" s="208"/>
      <c r="F53" s="209">
        <f>UNIFORMES!G22</f>
        <v>240.13</v>
      </c>
      <c r="G53" s="177" t="s">
        <v>295</v>
      </c>
      <c r="H53" s="210"/>
      <c r="I53" s="210"/>
      <c r="J53" s="126"/>
      <c r="K53" s="126"/>
      <c r="L53" s="126"/>
      <c r="M53" s="125"/>
    </row>
    <row r="54" spans="1:16" ht="15" x14ac:dyDescent="0.2">
      <c r="A54" s="756" t="s">
        <v>323</v>
      </c>
      <c r="B54" s="757"/>
      <c r="C54" s="758"/>
      <c r="D54" s="349">
        <v>1</v>
      </c>
      <c r="E54" s="211"/>
      <c r="F54" s="212">
        <f>'MAT e EQUIPS'!H19</f>
        <v>8.5299999999999994</v>
      </c>
      <c r="G54" s="177" t="s">
        <v>297</v>
      </c>
      <c r="H54" s="210"/>
      <c r="I54" s="182"/>
      <c r="J54" s="182"/>
      <c r="K54" s="213"/>
      <c r="L54" s="157"/>
      <c r="M54" s="125"/>
      <c r="N54" s="45"/>
      <c r="O54" s="79">
        <f>M2</f>
        <v>38370.629999999997</v>
      </c>
      <c r="P54" s="45"/>
    </row>
    <row r="55" spans="1:16" ht="15" x14ac:dyDescent="0.2">
      <c r="A55" s="756" t="s">
        <v>322</v>
      </c>
      <c r="B55" s="757"/>
      <c r="C55" s="758"/>
      <c r="D55" s="350">
        <v>1</v>
      </c>
      <c r="E55" s="214"/>
      <c r="F55" s="215">
        <f>'MAT e EQUIPS'!H30</f>
        <v>27.13</v>
      </c>
      <c r="G55" s="177" t="s">
        <v>298</v>
      </c>
      <c r="H55" s="210"/>
      <c r="I55" s="182"/>
      <c r="J55" s="182"/>
      <c r="K55" s="216"/>
      <c r="L55" s="217"/>
      <c r="M55" s="217"/>
      <c r="N55" s="46"/>
      <c r="O55" s="46"/>
      <c r="P55" s="46"/>
    </row>
    <row r="56" spans="1:16" thickBot="1" x14ac:dyDescent="0.25">
      <c r="A56" s="218" t="s">
        <v>164</v>
      </c>
      <c r="B56" s="322"/>
      <c r="C56" s="351"/>
      <c r="D56" s="352">
        <v>0.1</v>
      </c>
      <c r="E56" s="219"/>
      <c r="F56" s="220"/>
      <c r="G56" s="177" t="s">
        <v>296</v>
      </c>
      <c r="H56" s="125"/>
      <c r="I56" s="125"/>
      <c r="J56" s="125"/>
      <c r="K56" s="202"/>
      <c r="L56" s="125"/>
      <c r="M56" s="125"/>
    </row>
    <row r="57" spans="1:16" ht="15" x14ac:dyDescent="0.2">
      <c r="A57" s="102"/>
      <c r="B57" s="250"/>
      <c r="C57" s="250"/>
      <c r="D57" s="261"/>
      <c r="E57" s="125"/>
      <c r="F57" s="125"/>
      <c r="G57" s="125"/>
      <c r="H57" s="202"/>
      <c r="I57" s="202"/>
      <c r="J57" s="202"/>
      <c r="K57" s="202"/>
      <c r="L57" s="125"/>
      <c r="M57" s="125"/>
      <c r="N57" s="45"/>
      <c r="O57" s="45"/>
      <c r="P57" s="45"/>
    </row>
    <row r="58" spans="1:16" ht="15" x14ac:dyDescent="0.2">
      <c r="A58" s="102"/>
      <c r="B58" s="250"/>
      <c r="C58" s="250"/>
      <c r="D58" s="261"/>
      <c r="E58" s="125"/>
      <c r="F58" s="125"/>
      <c r="G58" s="125"/>
      <c r="H58" s="202"/>
      <c r="I58" s="202"/>
      <c r="J58" s="202"/>
      <c r="K58" s="202"/>
      <c r="L58" s="125"/>
      <c r="M58" s="125"/>
      <c r="N58" s="45"/>
      <c r="O58" s="45"/>
      <c r="P58" s="45"/>
    </row>
    <row r="59" spans="1:16" thickBot="1" x14ac:dyDescent="0.25">
      <c r="A59" s="102"/>
      <c r="B59" s="250"/>
      <c r="C59" s="250"/>
      <c r="D59" s="261"/>
      <c r="E59" s="221" t="s">
        <v>199</v>
      </c>
      <c r="F59" s="221" t="s">
        <v>237</v>
      </c>
      <c r="G59" s="221" t="s">
        <v>195</v>
      </c>
      <c r="H59" s="202"/>
      <c r="I59" s="202"/>
      <c r="J59" s="202"/>
      <c r="K59" s="202"/>
      <c r="L59" s="222"/>
      <c r="M59" s="125"/>
      <c r="N59" s="46"/>
      <c r="O59" s="46"/>
      <c r="P59" s="46"/>
    </row>
    <row r="60" spans="1:16" ht="15" x14ac:dyDescent="0.2">
      <c r="A60" s="143" t="s">
        <v>57</v>
      </c>
      <c r="B60" s="317"/>
      <c r="C60" s="353"/>
      <c r="D60" s="354"/>
      <c r="E60" s="223">
        <v>6.9000000000000006E-2</v>
      </c>
      <c r="F60" s="223">
        <v>6.9000000000000006E-2</v>
      </c>
      <c r="G60" s="224">
        <v>6.9000000000000006E-2</v>
      </c>
      <c r="H60" s="177" t="s">
        <v>299</v>
      </c>
      <c r="I60" s="225"/>
      <c r="J60" s="225"/>
      <c r="K60" s="158"/>
      <c r="L60" s="119"/>
      <c r="M60" s="226">
        <f>M2</f>
        <v>38370.629999999997</v>
      </c>
      <c r="O60" s="50">
        <f>M73/M74</f>
        <v>1.1994767752834601</v>
      </c>
    </row>
    <row r="61" spans="1:16" thickBot="1" x14ac:dyDescent="0.25">
      <c r="A61" s="227" t="s">
        <v>20</v>
      </c>
      <c r="B61" s="315"/>
      <c r="C61" s="355"/>
      <c r="D61" s="356"/>
      <c r="E61" s="228">
        <v>3.85E-2</v>
      </c>
      <c r="F61" s="228">
        <v>3.85E-2</v>
      </c>
      <c r="G61" s="228">
        <v>3.85E-2</v>
      </c>
      <c r="H61" s="177" t="s">
        <v>300</v>
      </c>
      <c r="I61" s="225"/>
      <c r="J61" s="225"/>
      <c r="K61" s="158"/>
      <c r="L61" s="229"/>
      <c r="M61" s="225"/>
    </row>
    <row r="62" spans="1:16" ht="15" x14ac:dyDescent="0.2">
      <c r="A62" s="119"/>
      <c r="B62" s="323"/>
      <c r="C62" s="323"/>
      <c r="D62" s="357"/>
      <c r="E62" s="230"/>
      <c r="F62" s="230"/>
      <c r="G62" s="230"/>
      <c r="H62" s="119"/>
      <c r="I62" s="119"/>
      <c r="J62" s="119"/>
      <c r="K62" s="119"/>
      <c r="L62" s="119"/>
      <c r="M62" s="119"/>
      <c r="N62" s="47" t="s">
        <v>196</v>
      </c>
      <c r="O62" s="47" t="s">
        <v>197</v>
      </c>
      <c r="P62" s="47" t="s">
        <v>198</v>
      </c>
    </row>
    <row r="63" spans="1:16" ht="15" x14ac:dyDescent="0.2">
      <c r="A63" s="119"/>
      <c r="B63" s="323"/>
      <c r="C63" s="323"/>
      <c r="D63" s="357"/>
      <c r="E63" s="230"/>
      <c r="F63" s="230"/>
      <c r="G63" s="230"/>
      <c r="H63" s="119"/>
      <c r="I63" s="119"/>
      <c r="J63" s="119"/>
      <c r="K63" s="119"/>
      <c r="L63" s="119"/>
      <c r="M63" s="119"/>
      <c r="N63" s="46">
        <f>RESUMO!F8</f>
        <v>7922.18</v>
      </c>
      <c r="O63" s="46">
        <f>(O64/2)*$O$60</f>
        <v>9056.3700000000008</v>
      </c>
      <c r="P63" s="77">
        <f>N63-O63</f>
        <v>-1134.19</v>
      </c>
    </row>
    <row r="64" spans="1:16" thickBot="1" x14ac:dyDescent="0.25">
      <c r="A64" s="119"/>
      <c r="B64" s="324"/>
      <c r="C64" s="324"/>
      <c r="D64" s="324"/>
      <c r="E64" s="231"/>
      <c r="F64" s="119"/>
      <c r="G64" s="119"/>
      <c r="H64" s="119"/>
      <c r="I64" s="670" t="s">
        <v>305</v>
      </c>
      <c r="J64" s="670"/>
      <c r="K64" s="670"/>
      <c r="L64" s="671">
        <v>996836.64</v>
      </c>
      <c r="M64" s="671"/>
      <c r="N64" s="46">
        <f>RESUMO!F9</f>
        <v>14327.52</v>
      </c>
      <c r="O64" s="46">
        <v>15100.54</v>
      </c>
      <c r="P64" s="77">
        <f>N64-O64</f>
        <v>-773.02</v>
      </c>
    </row>
    <row r="65" spans="1:39" ht="15" customHeight="1" thickBot="1" x14ac:dyDescent="0.25">
      <c r="A65" s="665" t="s">
        <v>157</v>
      </c>
      <c r="B65" s="667"/>
      <c r="C65" s="358"/>
      <c r="D65" s="359"/>
      <c r="E65" s="233"/>
      <c r="F65" s="233"/>
      <c r="G65" s="233"/>
      <c r="H65" s="232"/>
      <c r="I65" s="233"/>
      <c r="J65" s="233"/>
      <c r="K65" s="665" t="s">
        <v>158</v>
      </c>
      <c r="L65" s="666"/>
      <c r="M65" s="667"/>
      <c r="N65" s="46">
        <f>RESUMO!F10</f>
        <v>16095.02</v>
      </c>
      <c r="O65" s="46">
        <v>16451.59</v>
      </c>
      <c r="P65" s="77">
        <f>N65-O65</f>
        <v>-356.57</v>
      </c>
    </row>
    <row r="66" spans="1:39" ht="15" customHeight="1" x14ac:dyDescent="0.2">
      <c r="A66" s="234" t="s">
        <v>223</v>
      </c>
      <c r="B66" s="325">
        <f>B67/C13</f>
        <v>116825.85</v>
      </c>
      <c r="C66" s="358"/>
      <c r="D66" s="360"/>
      <c r="E66" s="235"/>
      <c r="F66" s="236" t="s">
        <v>0</v>
      </c>
      <c r="G66" s="236"/>
      <c r="H66" s="232"/>
      <c r="I66" s="235"/>
      <c r="J66" s="235"/>
      <c r="K66" s="237" t="s">
        <v>223</v>
      </c>
      <c r="L66" s="668">
        <f>L67/12</f>
        <v>109982.32</v>
      </c>
      <c r="M66" s="669"/>
      <c r="N66" s="50"/>
      <c r="O66" s="50"/>
      <c r="P66" s="50"/>
    </row>
    <row r="67" spans="1:39" thickBot="1" x14ac:dyDescent="0.25">
      <c r="A67" s="238" t="s">
        <v>185</v>
      </c>
      <c r="B67" s="326">
        <v>1401910.2</v>
      </c>
      <c r="C67" s="360"/>
      <c r="D67" s="360"/>
      <c r="E67" s="235"/>
      <c r="F67" s="118"/>
      <c r="G67" s="118"/>
      <c r="H67" s="232"/>
      <c r="I67" s="235"/>
      <c r="J67" s="235"/>
      <c r="K67" s="239" t="s">
        <v>185</v>
      </c>
      <c r="L67" s="705">
        <f>'PROPOSTA INICIAL'!H33</f>
        <v>1319787.8400000001</v>
      </c>
      <c r="M67" s="706"/>
      <c r="N67" s="47" t="s">
        <v>196</v>
      </c>
      <c r="O67" s="47" t="s">
        <v>197</v>
      </c>
      <c r="P67" s="47" t="s">
        <v>198</v>
      </c>
    </row>
    <row r="68" spans="1:39" thickBot="1" x14ac:dyDescent="0.25">
      <c r="A68" s="118"/>
      <c r="B68" s="327"/>
      <c r="C68" s="361"/>
      <c r="D68" s="361"/>
      <c r="E68" s="240"/>
      <c r="F68" s="118"/>
      <c r="G68" s="118"/>
      <c r="H68" s="241"/>
      <c r="I68" s="241"/>
      <c r="J68" s="241"/>
      <c r="K68" s="241"/>
      <c r="L68" s="242" t="s">
        <v>203</v>
      </c>
      <c r="M68" s="243">
        <f>L67/B67</f>
        <v>0.94140000000000001</v>
      </c>
      <c r="N68" s="46">
        <f>N63</f>
        <v>7922.18</v>
      </c>
      <c r="O68" s="46">
        <f>(O69/2)*$O$60</f>
        <v>9716.74</v>
      </c>
      <c r="P68" s="77">
        <f>N68-O68</f>
        <v>-1794.56</v>
      </c>
    </row>
    <row r="69" spans="1:39" ht="15" customHeight="1" x14ac:dyDescent="0.2">
      <c r="A69" s="118"/>
      <c r="B69" s="328"/>
      <c r="C69" s="361"/>
      <c r="D69" s="361"/>
      <c r="E69" s="240"/>
      <c r="F69" s="118"/>
      <c r="G69" s="118"/>
      <c r="H69" s="709" t="s">
        <v>244</v>
      </c>
      <c r="I69" s="709"/>
      <c r="J69" s="709"/>
      <c r="K69" s="709"/>
      <c r="L69" s="709"/>
      <c r="M69" s="709"/>
      <c r="N69" s="46">
        <f>N64</f>
        <v>14327.52</v>
      </c>
      <c r="O69" s="46">
        <v>16201.63</v>
      </c>
      <c r="P69" s="77">
        <f>N69-O69</f>
        <v>-1874.11</v>
      </c>
    </row>
    <row r="70" spans="1:39" ht="15.75" customHeight="1" x14ac:dyDescent="0.2">
      <c r="A70" s="118"/>
      <c r="B70" s="328"/>
      <c r="C70" s="361"/>
      <c r="D70" s="361"/>
      <c r="E70" s="240"/>
      <c r="F70" s="118"/>
      <c r="G70" s="118"/>
      <c r="H70" s="709"/>
      <c r="I70" s="709"/>
      <c r="J70" s="709"/>
      <c r="K70" s="709"/>
      <c r="L70" s="709"/>
      <c r="M70" s="709"/>
      <c r="N70" s="46">
        <f>N65</f>
        <v>16095.02</v>
      </c>
      <c r="O70" s="46">
        <v>18025.95</v>
      </c>
      <c r="P70" s="77">
        <f>N70-O70</f>
        <v>-1930.93</v>
      </c>
    </row>
    <row r="71" spans="1:39" thickBot="1" x14ac:dyDescent="0.25">
      <c r="A71" s="118"/>
      <c r="B71" s="328"/>
      <c r="C71" s="361"/>
      <c r="D71" s="361"/>
      <c r="E71" s="240"/>
      <c r="F71" s="118"/>
      <c r="G71" s="118"/>
      <c r="H71" s="710"/>
      <c r="I71" s="710"/>
      <c r="J71" s="710"/>
      <c r="K71" s="710"/>
      <c r="L71" s="710"/>
      <c r="M71" s="710"/>
      <c r="N71" s="50"/>
      <c r="O71" s="50"/>
      <c r="P71" s="50"/>
    </row>
    <row r="72" spans="1:39" s="51" customFormat="1" ht="24.75" thickBot="1" x14ac:dyDescent="0.25">
      <c r="A72" s="244" t="s">
        <v>226</v>
      </c>
      <c r="B72" s="250"/>
      <c r="C72" s="250"/>
      <c r="D72" s="249"/>
      <c r="E72" s="245"/>
      <c r="F72" s="119"/>
      <c r="G72" s="119"/>
      <c r="H72" s="677" t="s">
        <v>60</v>
      </c>
      <c r="I72" s="678"/>
      <c r="J72" s="246" t="s">
        <v>308</v>
      </c>
      <c r="K72" s="246" t="s">
        <v>225</v>
      </c>
      <c r="L72" s="246" t="s">
        <v>307</v>
      </c>
      <c r="M72" s="247" t="s">
        <v>61</v>
      </c>
      <c r="N72" s="78" t="s">
        <v>196</v>
      </c>
      <c r="O72" s="78" t="s">
        <v>367</v>
      </c>
      <c r="P72" s="78" t="s">
        <v>198</v>
      </c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spans="1:39" s="51" customFormat="1" ht="12.75" x14ac:dyDescent="0.2">
      <c r="A73" s="248" t="s">
        <v>58</v>
      </c>
      <c r="B73" s="317"/>
      <c r="C73" s="362">
        <v>0.05</v>
      </c>
      <c r="D73" s="249"/>
      <c r="E73" s="249"/>
      <c r="F73" s="250"/>
      <c r="G73" s="251"/>
      <c r="H73" s="252" t="s">
        <v>399</v>
      </c>
      <c r="I73" s="253"/>
      <c r="J73" s="254">
        <v>1</v>
      </c>
      <c r="K73" s="254">
        <v>1</v>
      </c>
      <c r="L73" s="254">
        <f>J73*K73</f>
        <v>1</v>
      </c>
      <c r="M73" s="255">
        <v>2264.96</v>
      </c>
      <c r="N73" s="46">
        <f>N68</f>
        <v>7922.18</v>
      </c>
      <c r="O73" s="46">
        <v>8263.73</v>
      </c>
      <c r="P73" s="77">
        <f>N73-O73</f>
        <v>-341.55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 spans="1:39" s="51" customFormat="1" ht="12.75" x14ac:dyDescent="0.2">
      <c r="A74" s="256" t="s">
        <v>22</v>
      </c>
      <c r="B74" s="257"/>
      <c r="C74" s="258">
        <v>0.03</v>
      </c>
      <c r="D74" s="249"/>
      <c r="E74" s="249"/>
      <c r="F74" s="250"/>
      <c r="G74" s="251"/>
      <c r="H74" s="252" t="s">
        <v>235</v>
      </c>
      <c r="I74" s="259"/>
      <c r="J74" s="254">
        <v>6</v>
      </c>
      <c r="K74" s="254">
        <v>2</v>
      </c>
      <c r="L74" s="254">
        <f>J74*K74</f>
        <v>12</v>
      </c>
      <c r="M74" s="255">
        <v>1888.29</v>
      </c>
      <c r="N74" s="46">
        <f>N69</f>
        <v>14327.52</v>
      </c>
      <c r="O74" s="46">
        <v>15249.44</v>
      </c>
      <c r="P74" s="77">
        <f>N74-O74</f>
        <v>-921.92</v>
      </c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 spans="1:39" s="51" customFormat="1" ht="13.5" thickBot="1" x14ac:dyDescent="0.25">
      <c r="A75" s="260" t="s">
        <v>21</v>
      </c>
      <c r="B75" s="261"/>
      <c r="C75" s="262">
        <v>6.4999999999999997E-3</v>
      </c>
      <c r="D75" s="249"/>
      <c r="E75" s="249"/>
      <c r="F75" s="250"/>
      <c r="G75" s="251"/>
      <c r="H75" s="252" t="s">
        <v>236</v>
      </c>
      <c r="I75" s="259"/>
      <c r="J75" s="254">
        <v>1</v>
      </c>
      <c r="K75" s="254">
        <v>2</v>
      </c>
      <c r="L75" s="254">
        <f>J75*K75</f>
        <v>2</v>
      </c>
      <c r="M75" s="255">
        <v>1888.29</v>
      </c>
      <c r="N75" s="46">
        <f>N70</f>
        <v>16095.02</v>
      </c>
      <c r="O75" s="46">
        <v>17065.48</v>
      </c>
      <c r="P75" s="77">
        <f>N75-O75</f>
        <v>-970.46</v>
      </c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 spans="1:39" s="51" customFormat="1" ht="13.5" customHeight="1" thickBot="1" x14ac:dyDescent="0.25">
      <c r="A76" s="696" t="s">
        <v>59</v>
      </c>
      <c r="B76" s="697"/>
      <c r="C76" s="263">
        <f>SUM(C73:C75)</f>
        <v>8.6499999999999994E-2</v>
      </c>
      <c r="D76" s="249"/>
      <c r="E76" s="249"/>
      <c r="F76" s="250"/>
      <c r="G76" s="251"/>
      <c r="H76" s="679" t="s">
        <v>62</v>
      </c>
      <c r="I76" s="680"/>
      <c r="J76" s="264">
        <f>SUM(J73:J75)</f>
        <v>8</v>
      </c>
      <c r="K76" s="265" t="s">
        <v>84</v>
      </c>
      <c r="L76" s="264">
        <f>SUM(L73:L75)</f>
        <v>15</v>
      </c>
      <c r="M76" s="266" t="s">
        <v>84</v>
      </c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1" customFormat="1" ht="15.75" customHeight="1" x14ac:dyDescent="0.2">
      <c r="A77" s="251"/>
      <c r="B77" s="250"/>
      <c r="C77" s="267">
        <f>(100%-C76)</f>
        <v>0.91349999999999998</v>
      </c>
      <c r="D77" s="249"/>
      <c r="E77" s="249"/>
      <c r="F77" s="250"/>
      <c r="G77" s="251"/>
      <c r="H77" s="104" t="s">
        <v>306</v>
      </c>
      <c r="I77" s="268"/>
      <c r="J77" s="251"/>
      <c r="K77" s="251"/>
      <c r="L77" s="251"/>
      <c r="M77" s="251"/>
      <c r="N77" s="49"/>
      <c r="O77" s="49"/>
      <c r="P77" s="49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51" customFormat="1" ht="15.75" customHeight="1" x14ac:dyDescent="0.2">
      <c r="A78" s="250"/>
      <c r="B78" s="250"/>
      <c r="C78" s="250"/>
      <c r="D78" s="249"/>
      <c r="E78" s="249"/>
      <c r="F78" s="250"/>
      <c r="G78" s="251"/>
      <c r="H78" s="251"/>
      <c r="I78" s="102"/>
      <c r="J78" s="102"/>
      <c r="K78" s="102"/>
      <c r="L78" s="102"/>
      <c r="M78" s="251"/>
      <c r="N78" s="49"/>
      <c r="O78" s="49"/>
      <c r="P78" s="49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1" customFormat="1" ht="15.75" customHeight="1" thickBot="1" x14ac:dyDescent="0.25">
      <c r="A79" s="250"/>
      <c r="B79" s="250"/>
      <c r="C79" s="250"/>
      <c r="D79" s="249"/>
      <c r="E79" s="249"/>
      <c r="F79" s="250"/>
      <c r="G79" s="102"/>
      <c r="H79" s="269"/>
      <c r="I79" s="269"/>
      <c r="J79" s="269"/>
      <c r="K79" s="269"/>
      <c r="L79" s="269"/>
      <c r="M79" s="251"/>
      <c r="N79" s="49"/>
      <c r="O79" s="49"/>
      <c r="P79" s="49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51" customFormat="1" ht="15.75" customHeight="1" thickBot="1" x14ac:dyDescent="0.25">
      <c r="A80" s="270" t="s">
        <v>63</v>
      </c>
      <c r="B80" s="761" t="s">
        <v>64</v>
      </c>
      <c r="C80" s="762"/>
      <c r="D80" s="363"/>
      <c r="E80" s="271"/>
      <c r="F80" s="250"/>
      <c r="G80" s="251"/>
      <c r="H80" s="731" t="s">
        <v>65</v>
      </c>
      <c r="I80" s="731"/>
      <c r="J80" s="731"/>
      <c r="K80" s="731"/>
      <c r="L80" s="731"/>
      <c r="M80" s="731"/>
      <c r="N80" s="49"/>
      <c r="O80" s="49"/>
      <c r="P80" s="49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</row>
    <row r="81" spans="1:39" s="51" customFormat="1" ht="15.75" customHeight="1" x14ac:dyDescent="0.2">
      <c r="A81" s="272" t="s">
        <v>1</v>
      </c>
      <c r="B81" s="329" t="s">
        <v>14</v>
      </c>
      <c r="C81" s="364">
        <v>0.2</v>
      </c>
      <c r="D81" s="365"/>
      <c r="E81" s="273"/>
      <c r="F81" s="103"/>
      <c r="G81" s="251"/>
      <c r="H81" s="727" t="s">
        <v>66</v>
      </c>
      <c r="I81" s="728"/>
      <c r="J81" s="738" t="s">
        <v>67</v>
      </c>
      <c r="K81" s="739"/>
      <c r="L81" s="740"/>
      <c r="M81" s="274" t="s">
        <v>68</v>
      </c>
      <c r="N81" s="49"/>
      <c r="O81" s="49"/>
      <c r="P81" s="49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</row>
    <row r="82" spans="1:39" s="51" customFormat="1" ht="15.75" customHeight="1" thickBot="1" x14ac:dyDescent="0.25">
      <c r="A82" s="272" t="s">
        <v>2</v>
      </c>
      <c r="B82" s="329" t="s">
        <v>15</v>
      </c>
      <c r="C82" s="364">
        <v>1.4999999999999999E-2</v>
      </c>
      <c r="D82" s="365"/>
      <c r="E82" s="273"/>
      <c r="F82" s="103"/>
      <c r="G82" s="251"/>
      <c r="H82" s="736" t="s">
        <v>69</v>
      </c>
      <c r="I82" s="737"/>
      <c r="J82" s="743" t="s">
        <v>159</v>
      </c>
      <c r="K82" s="744"/>
      <c r="L82" s="745"/>
      <c r="M82" s="416" t="s">
        <v>311</v>
      </c>
      <c r="N82" s="49"/>
      <c r="O82" s="49"/>
      <c r="P82" s="49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</row>
    <row r="83" spans="1:39" s="51" customFormat="1" ht="15.75" customHeight="1" x14ac:dyDescent="0.2">
      <c r="A83" s="272" t="s">
        <v>4</v>
      </c>
      <c r="B83" s="329" t="s">
        <v>16</v>
      </c>
      <c r="C83" s="364">
        <v>0.01</v>
      </c>
      <c r="D83" s="365"/>
      <c r="E83" s="273"/>
      <c r="F83" s="103"/>
      <c r="G83" s="251"/>
      <c r="H83" s="415" t="s">
        <v>210</v>
      </c>
      <c r="I83" s="119"/>
      <c r="J83" s="119"/>
      <c r="K83" s="119"/>
      <c r="L83" s="119"/>
      <c r="M83" s="119"/>
      <c r="N83" s="49"/>
      <c r="O83" s="49"/>
      <c r="P83" s="49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</row>
    <row r="84" spans="1:39" ht="15.75" customHeight="1" x14ac:dyDescent="0.2">
      <c r="A84" s="272" t="s">
        <v>5</v>
      </c>
      <c r="B84" s="329" t="s">
        <v>17</v>
      </c>
      <c r="C84" s="364">
        <v>2E-3</v>
      </c>
      <c r="D84" s="365"/>
      <c r="E84" s="273"/>
      <c r="F84" s="103" t="s">
        <v>194</v>
      </c>
      <c r="G84" s="103"/>
      <c r="H84" s="269"/>
      <c r="I84" s="269"/>
      <c r="J84" s="269"/>
      <c r="K84" s="269"/>
      <c r="L84" s="269"/>
      <c r="M84" s="269"/>
    </row>
    <row r="85" spans="1:39" ht="15.75" customHeight="1" x14ac:dyDescent="0.2">
      <c r="A85" s="272" t="s">
        <v>6</v>
      </c>
      <c r="B85" s="329" t="s">
        <v>120</v>
      </c>
      <c r="C85" s="364">
        <v>2.5000000000000001E-2</v>
      </c>
      <c r="D85" s="365"/>
      <c r="E85" s="273"/>
      <c r="F85" s="250"/>
      <c r="G85" s="250"/>
      <c r="H85" s="275" t="s">
        <v>155</v>
      </c>
      <c r="I85" s="269"/>
      <c r="J85" s="269"/>
      <c r="K85" s="269"/>
      <c r="L85" s="269"/>
      <c r="M85" s="269"/>
    </row>
    <row r="86" spans="1:39" ht="15.75" customHeight="1" x14ac:dyDescent="0.2">
      <c r="A86" s="272" t="s">
        <v>7</v>
      </c>
      <c r="B86" s="329" t="s">
        <v>18</v>
      </c>
      <c r="C86" s="364">
        <v>0.08</v>
      </c>
      <c r="D86" s="365"/>
      <c r="E86" s="273"/>
      <c r="F86" s="250"/>
      <c r="G86" s="250"/>
      <c r="H86" s="269" t="s">
        <v>238</v>
      </c>
      <c r="I86" s="276"/>
      <c r="J86" s="276"/>
      <c r="K86" s="276"/>
      <c r="L86" s="276"/>
      <c r="M86" s="276"/>
    </row>
    <row r="87" spans="1:39" ht="15.75" customHeight="1" x14ac:dyDescent="0.2">
      <c r="A87" s="272" t="s">
        <v>8</v>
      </c>
      <c r="B87" s="329" t="s">
        <v>149</v>
      </c>
      <c r="C87" s="366">
        <v>2.1299999999999999E-2</v>
      </c>
      <c r="D87" s="367"/>
      <c r="E87" s="278" t="s">
        <v>328</v>
      </c>
      <c r="F87" s="279"/>
      <c r="G87" s="279"/>
      <c r="H87" s="269" t="s">
        <v>240</v>
      </c>
      <c r="I87" s="269"/>
      <c r="J87" s="269"/>
      <c r="K87" s="269"/>
      <c r="L87" s="269"/>
      <c r="M87" s="269"/>
    </row>
    <row r="88" spans="1:39" ht="15.75" customHeight="1" x14ac:dyDescent="0.2">
      <c r="A88" s="272" t="s">
        <v>9</v>
      </c>
      <c r="B88" s="329" t="s">
        <v>19</v>
      </c>
      <c r="C88" s="364">
        <v>6.0000000000000001E-3</v>
      </c>
      <c r="D88" s="367"/>
      <c r="E88" s="277"/>
      <c r="F88" s="119"/>
      <c r="G88" s="119"/>
      <c r="H88" s="726" t="s">
        <v>241</v>
      </c>
      <c r="I88" s="726"/>
      <c r="J88" s="726"/>
      <c r="K88" s="726"/>
      <c r="L88" s="726"/>
      <c r="M88" s="726"/>
    </row>
    <row r="89" spans="1:39" ht="15.75" customHeight="1" x14ac:dyDescent="0.2">
      <c r="A89" s="763" t="s">
        <v>62</v>
      </c>
      <c r="B89" s="764"/>
      <c r="C89" s="368">
        <f>SUM(C81:C88)</f>
        <v>0.35930000000000001</v>
      </c>
      <c r="D89" s="367"/>
      <c r="E89" s="277"/>
      <c r="F89" s="119"/>
      <c r="G89" s="119"/>
      <c r="H89" s="726"/>
      <c r="I89" s="726"/>
      <c r="J89" s="726"/>
      <c r="K89" s="726"/>
      <c r="L89" s="726"/>
      <c r="M89" s="726"/>
    </row>
    <row r="90" spans="1:39" ht="15.75" customHeight="1" thickBot="1" x14ac:dyDescent="0.25">
      <c r="A90" s="280" t="s">
        <v>70</v>
      </c>
      <c r="B90" s="765" t="s">
        <v>148</v>
      </c>
      <c r="C90" s="766"/>
      <c r="D90" s="367"/>
      <c r="E90" s="277"/>
      <c r="F90" s="119"/>
      <c r="G90" s="119"/>
      <c r="H90" s="726"/>
      <c r="I90" s="726"/>
      <c r="J90" s="726"/>
      <c r="K90" s="726"/>
      <c r="L90" s="726"/>
      <c r="M90" s="726"/>
    </row>
    <row r="91" spans="1:39" ht="15.75" customHeight="1" thickBot="1" x14ac:dyDescent="0.25">
      <c r="A91" s="281" t="s">
        <v>1</v>
      </c>
      <c r="B91" s="330" t="s">
        <v>121</v>
      </c>
      <c r="C91" s="369">
        <v>8.3299999999999999E-2</v>
      </c>
      <c r="D91" s="370" t="s">
        <v>239</v>
      </c>
      <c r="E91" s="282"/>
      <c r="F91" s="283"/>
      <c r="G91" s="283"/>
      <c r="H91" s="777" t="s">
        <v>401</v>
      </c>
      <c r="I91" s="778"/>
      <c r="J91" s="778"/>
      <c r="K91" s="778"/>
      <c r="L91" s="778"/>
      <c r="M91" s="779"/>
    </row>
    <row r="92" spans="1:39" ht="23.25" customHeight="1" thickBot="1" x14ac:dyDescent="0.25">
      <c r="A92" s="281" t="s">
        <v>2</v>
      </c>
      <c r="B92" s="330" t="s">
        <v>383</v>
      </c>
      <c r="C92" s="369">
        <v>2.7799999999999998E-2</v>
      </c>
      <c r="D92" s="370"/>
      <c r="E92" s="282"/>
      <c r="F92" s="283"/>
      <c r="G92" s="283"/>
      <c r="H92" s="677" t="s">
        <v>60</v>
      </c>
      <c r="I92" s="678"/>
      <c r="J92" s="246" t="s">
        <v>308</v>
      </c>
      <c r="K92" s="246" t="s">
        <v>225</v>
      </c>
      <c r="L92" s="246" t="s">
        <v>307</v>
      </c>
      <c r="M92" s="247" t="s">
        <v>61</v>
      </c>
    </row>
    <row r="93" spans="1:39" ht="15.75" customHeight="1" x14ac:dyDescent="0.2">
      <c r="A93" s="767" t="s">
        <v>71</v>
      </c>
      <c r="B93" s="768"/>
      <c r="C93" s="371">
        <f>SUM(C91:C92)</f>
        <v>0.1111</v>
      </c>
      <c r="D93" s="370"/>
      <c r="E93" s="282"/>
      <c r="F93" s="119"/>
      <c r="G93" s="119"/>
      <c r="H93" s="252" t="s">
        <v>399</v>
      </c>
      <c r="I93" s="253"/>
      <c r="J93" s="417">
        <v>1</v>
      </c>
      <c r="K93" s="417">
        <v>1</v>
      </c>
      <c r="L93" s="254">
        <f>J93*K93</f>
        <v>1</v>
      </c>
      <c r="M93" s="255">
        <v>2413.9899999999998</v>
      </c>
    </row>
    <row r="94" spans="1:39" ht="21.75" customHeight="1" x14ac:dyDescent="0.2">
      <c r="A94" s="281" t="s">
        <v>2</v>
      </c>
      <c r="B94" s="330" t="s">
        <v>150</v>
      </c>
      <c r="C94" s="372">
        <f>C89*C93</f>
        <v>3.9899999999999998E-2</v>
      </c>
      <c r="D94" s="370"/>
      <c r="E94" s="282"/>
      <c r="F94" s="284"/>
      <c r="G94" s="284"/>
      <c r="H94" s="252" t="s">
        <v>235</v>
      </c>
      <c r="I94" s="259"/>
      <c r="J94" s="254">
        <v>6</v>
      </c>
      <c r="K94" s="254">
        <v>2</v>
      </c>
      <c r="L94" s="254">
        <f>J94*K94</f>
        <v>12</v>
      </c>
      <c r="M94" s="255">
        <v>2012.54</v>
      </c>
    </row>
    <row r="95" spans="1:39" ht="15.75" customHeight="1" thickBot="1" x14ac:dyDescent="0.25">
      <c r="A95" s="732" t="s">
        <v>62</v>
      </c>
      <c r="B95" s="733"/>
      <c r="C95" s="371">
        <f>C93+C94</f>
        <v>0.151</v>
      </c>
      <c r="D95" s="370"/>
      <c r="E95" s="282"/>
      <c r="F95" s="284"/>
      <c r="G95" s="284"/>
      <c r="H95" s="252" t="s">
        <v>236</v>
      </c>
      <c r="I95" s="259"/>
      <c r="J95" s="254">
        <v>1</v>
      </c>
      <c r="K95" s="254">
        <v>2</v>
      </c>
      <c r="L95" s="254">
        <f>J95*K95</f>
        <v>2</v>
      </c>
      <c r="M95" s="255">
        <v>2012.54</v>
      </c>
    </row>
    <row r="96" spans="1:39" ht="15.75" customHeight="1" thickBot="1" x14ac:dyDescent="0.25">
      <c r="A96" s="285" t="s">
        <v>72</v>
      </c>
      <c r="B96" s="734" t="s">
        <v>73</v>
      </c>
      <c r="C96" s="735"/>
      <c r="D96" s="370"/>
      <c r="E96" s="282"/>
      <c r="F96" s="284"/>
      <c r="G96" s="284"/>
      <c r="H96" s="679" t="s">
        <v>62</v>
      </c>
      <c r="I96" s="680"/>
      <c r="J96" s="264">
        <f>SUM(J93:J95)</f>
        <v>8</v>
      </c>
      <c r="K96" s="265" t="s">
        <v>84</v>
      </c>
      <c r="L96" s="264">
        <f>SUM(L93:L95)</f>
        <v>15</v>
      </c>
      <c r="M96" s="266" t="s">
        <v>84</v>
      </c>
    </row>
    <row r="97" spans="1:16" ht="15.75" customHeight="1" x14ac:dyDescent="0.2">
      <c r="A97" s="281" t="s">
        <v>1</v>
      </c>
      <c r="B97" s="330" t="s">
        <v>26</v>
      </c>
      <c r="C97" s="373">
        <v>0</v>
      </c>
      <c r="D97" s="370" t="s">
        <v>325</v>
      </c>
      <c r="E97" s="282"/>
      <c r="F97" s="284"/>
      <c r="G97" s="119"/>
      <c r="H97" s="82"/>
      <c r="I97" s="268"/>
      <c r="J97" s="251"/>
      <c r="K97" s="251"/>
      <c r="L97" s="251"/>
      <c r="M97" s="251"/>
    </row>
    <row r="98" spans="1:16" ht="24.75" customHeight="1" thickBot="1" x14ac:dyDescent="0.25">
      <c r="A98" s="281" t="s">
        <v>2</v>
      </c>
      <c r="B98" s="330" t="s">
        <v>151</v>
      </c>
      <c r="C98" s="372">
        <f>C89*C97</f>
        <v>0</v>
      </c>
      <c r="D98" s="370"/>
      <c r="E98" s="282"/>
      <c r="F98" s="284"/>
      <c r="G98" s="119"/>
      <c r="H98" s="387"/>
      <c r="I98" s="387"/>
      <c r="J98" s="387"/>
      <c r="K98" s="387"/>
      <c r="L98" s="387"/>
      <c r="M98" s="387"/>
    </row>
    <row r="99" spans="1:16" ht="15.75" customHeight="1" thickBot="1" x14ac:dyDescent="0.25">
      <c r="A99" s="732" t="s">
        <v>62</v>
      </c>
      <c r="B99" s="733"/>
      <c r="C99" s="371">
        <f>SUM(C97:C98)</f>
        <v>0</v>
      </c>
      <c r="D99" s="370"/>
      <c r="E99" s="282"/>
      <c r="F99" s="284"/>
      <c r="G99" s="119"/>
      <c r="H99" s="777" t="s">
        <v>402</v>
      </c>
      <c r="I99" s="778"/>
      <c r="J99" s="778"/>
      <c r="K99" s="778"/>
      <c r="L99" s="778"/>
      <c r="M99" s="779"/>
    </row>
    <row r="100" spans="1:16" ht="25.5" customHeight="1" thickBot="1" x14ac:dyDescent="0.25">
      <c r="A100" s="285" t="s">
        <v>74</v>
      </c>
      <c r="B100" s="734" t="s">
        <v>75</v>
      </c>
      <c r="C100" s="735"/>
      <c r="D100" s="370"/>
      <c r="E100" s="282"/>
      <c r="F100" s="284"/>
      <c r="G100" s="119"/>
      <c r="H100" s="677" t="s">
        <v>60</v>
      </c>
      <c r="I100" s="678"/>
      <c r="J100" s="246" t="s">
        <v>308</v>
      </c>
      <c r="K100" s="246" t="s">
        <v>225</v>
      </c>
      <c r="L100" s="246" t="s">
        <v>307</v>
      </c>
      <c r="M100" s="247" t="s">
        <v>61</v>
      </c>
    </row>
    <row r="101" spans="1:16" ht="15.75" customHeight="1" x14ac:dyDescent="0.2">
      <c r="A101" s="286" t="s">
        <v>1</v>
      </c>
      <c r="B101" s="101" t="s">
        <v>76</v>
      </c>
      <c r="C101" s="374">
        <v>4.1999999999999997E-3</v>
      </c>
      <c r="D101" s="370"/>
      <c r="E101" s="278" t="s">
        <v>326</v>
      </c>
      <c r="F101" s="119"/>
      <c r="G101" s="119"/>
      <c r="H101" s="252" t="s">
        <v>399</v>
      </c>
      <c r="I101" s="253"/>
      <c r="J101" s="498">
        <v>2</v>
      </c>
      <c r="K101" s="498">
        <v>1</v>
      </c>
      <c r="L101" s="254">
        <f>J101*K101</f>
        <v>2</v>
      </c>
      <c r="M101" s="255">
        <v>2413.9899999999998</v>
      </c>
    </row>
    <row r="102" spans="1:16" ht="24" x14ac:dyDescent="0.2">
      <c r="A102" s="286" t="s">
        <v>2</v>
      </c>
      <c r="B102" s="101" t="s">
        <v>334</v>
      </c>
      <c r="C102" s="374">
        <f>C89*C101</f>
        <v>1.5E-3</v>
      </c>
      <c r="D102" s="370" t="s">
        <v>333</v>
      </c>
      <c r="E102" s="278"/>
      <c r="F102" s="284"/>
      <c r="G102" s="284"/>
      <c r="H102" s="252" t="s">
        <v>235</v>
      </c>
      <c r="I102" s="259"/>
      <c r="J102" s="254">
        <v>6</v>
      </c>
      <c r="K102" s="254">
        <v>2</v>
      </c>
      <c r="L102" s="254">
        <f>J102*K102</f>
        <v>12</v>
      </c>
      <c r="M102" s="255">
        <v>2012.54</v>
      </c>
    </row>
    <row r="103" spans="1:16" ht="24.75" customHeight="1" thickBot="1" x14ac:dyDescent="0.25">
      <c r="A103" s="286" t="s">
        <v>4</v>
      </c>
      <c r="B103" s="101" t="s">
        <v>335</v>
      </c>
      <c r="C103" s="375">
        <v>4.3499999999999997E-2</v>
      </c>
      <c r="D103" s="370" t="s">
        <v>386</v>
      </c>
      <c r="E103" s="278"/>
      <c r="F103" s="284"/>
      <c r="G103" s="284"/>
      <c r="H103" s="252" t="s">
        <v>236</v>
      </c>
      <c r="I103" s="259"/>
      <c r="J103" s="254">
        <v>1</v>
      </c>
      <c r="K103" s="254">
        <v>2</v>
      </c>
      <c r="L103" s="254">
        <f>J103*K103</f>
        <v>2</v>
      </c>
      <c r="M103" s="255">
        <v>2012.54</v>
      </c>
    </row>
    <row r="104" spans="1:16" ht="15.75" customHeight="1" thickBot="1" x14ac:dyDescent="0.25">
      <c r="A104" s="286" t="s">
        <v>5</v>
      </c>
      <c r="B104" s="101" t="s">
        <v>152</v>
      </c>
      <c r="C104" s="374">
        <v>1.9400000000000001E-2</v>
      </c>
      <c r="D104" s="370"/>
      <c r="E104" s="278"/>
      <c r="F104" s="284"/>
      <c r="G104" s="284"/>
      <c r="H104" s="679" t="s">
        <v>62</v>
      </c>
      <c r="I104" s="680"/>
      <c r="J104" s="264">
        <f>SUM(J101:J103)</f>
        <v>9</v>
      </c>
      <c r="K104" s="265" t="s">
        <v>84</v>
      </c>
      <c r="L104" s="499">
        <f>SUM(L101:L103)</f>
        <v>16</v>
      </c>
      <c r="M104" s="266" t="s">
        <v>84</v>
      </c>
    </row>
    <row r="105" spans="1:16" ht="24" customHeight="1" x14ac:dyDescent="0.2">
      <c r="A105" s="286" t="s">
        <v>6</v>
      </c>
      <c r="B105" s="101" t="s">
        <v>153</v>
      </c>
      <c r="C105" s="374">
        <f>C104*C89</f>
        <v>7.0000000000000001E-3</v>
      </c>
      <c r="D105" s="370"/>
      <c r="E105" s="288">
        <f>C103+C106</f>
        <v>0.05</v>
      </c>
      <c r="F105" s="284"/>
      <c r="G105" s="284"/>
      <c r="H105" s="82"/>
      <c r="I105" s="497"/>
      <c r="J105" s="251"/>
      <c r="K105" s="251"/>
      <c r="L105" s="251"/>
      <c r="M105" s="251"/>
    </row>
    <row r="106" spans="1:16" ht="28.5" customHeight="1" x14ac:dyDescent="0.2">
      <c r="A106" s="286" t="s">
        <v>7</v>
      </c>
      <c r="B106" s="101" t="s">
        <v>336</v>
      </c>
      <c r="C106" s="375">
        <v>6.4999999999999997E-3</v>
      </c>
      <c r="D106" s="370" t="s">
        <v>239</v>
      </c>
      <c r="E106" s="278"/>
      <c r="F106" s="284"/>
      <c r="G106" s="284"/>
      <c r="H106" s="287"/>
      <c r="I106" s="119"/>
      <c r="J106" s="119"/>
      <c r="K106" s="119"/>
      <c r="L106" s="119"/>
      <c r="M106" s="119"/>
    </row>
    <row r="107" spans="1:16" ht="15.75" customHeight="1" x14ac:dyDescent="0.2">
      <c r="A107" s="732" t="s">
        <v>62</v>
      </c>
      <c r="B107" s="733"/>
      <c r="C107" s="371">
        <f>SUM(C101:C106)</f>
        <v>8.2100000000000006E-2</v>
      </c>
      <c r="D107" s="370"/>
      <c r="E107" s="278"/>
      <c r="F107" s="284"/>
      <c r="G107" s="284"/>
      <c r="H107" s="287"/>
      <c r="I107" s="119"/>
      <c r="J107" s="119"/>
      <c r="K107" s="119"/>
      <c r="L107" s="119"/>
      <c r="M107" s="119"/>
    </row>
    <row r="108" spans="1:16" ht="15.75" customHeight="1" x14ac:dyDescent="0.2">
      <c r="A108" s="285" t="s">
        <v>77</v>
      </c>
      <c r="B108" s="771" t="s">
        <v>78</v>
      </c>
      <c r="C108" s="772"/>
      <c r="D108" s="370"/>
      <c r="E108" s="278"/>
      <c r="F108" s="284"/>
      <c r="G108" s="284"/>
      <c r="H108" s="287"/>
      <c r="I108" s="119"/>
      <c r="J108" s="119"/>
      <c r="K108" s="119"/>
      <c r="L108" s="119"/>
      <c r="M108" s="119"/>
      <c r="N108" s="1"/>
      <c r="O108" s="1"/>
      <c r="P108" s="1"/>
    </row>
    <row r="109" spans="1:16" ht="15.75" customHeight="1" x14ac:dyDescent="0.2">
      <c r="A109" s="286" t="s">
        <v>1</v>
      </c>
      <c r="B109" s="101" t="s">
        <v>384</v>
      </c>
      <c r="C109" s="376">
        <v>8.3299999999999999E-2</v>
      </c>
      <c r="D109" s="370" t="s">
        <v>239</v>
      </c>
      <c r="E109" s="278" t="s">
        <v>327</v>
      </c>
      <c r="F109" s="289"/>
      <c r="G109" s="289"/>
      <c r="H109" s="776" t="s">
        <v>394</v>
      </c>
      <c r="I109" s="776"/>
      <c r="J109" s="776"/>
      <c r="K109" s="776"/>
      <c r="L109" s="776"/>
      <c r="M109" s="776"/>
      <c r="N109" s="1"/>
      <c r="O109" s="1"/>
      <c r="P109" s="1"/>
    </row>
    <row r="110" spans="1:16" ht="15.75" customHeight="1" x14ac:dyDescent="0.2">
      <c r="A110" s="286" t="s">
        <v>2</v>
      </c>
      <c r="B110" s="101" t="s">
        <v>27</v>
      </c>
      <c r="C110" s="377">
        <v>1.3899999999999999E-2</v>
      </c>
      <c r="D110" s="378"/>
      <c r="E110" s="278" t="s">
        <v>329</v>
      </c>
      <c r="F110" s="119"/>
      <c r="G110" s="119"/>
      <c r="H110" s="776"/>
      <c r="I110" s="776"/>
      <c r="J110" s="776"/>
      <c r="K110" s="776"/>
      <c r="L110" s="776"/>
      <c r="M110" s="776"/>
      <c r="N110" s="1"/>
      <c r="O110" s="1"/>
      <c r="P110" s="1"/>
    </row>
    <row r="111" spans="1:16" ht="15.75" customHeight="1" x14ac:dyDescent="0.2">
      <c r="A111" s="286" t="s">
        <v>4</v>
      </c>
      <c r="B111" s="101" t="s">
        <v>79</v>
      </c>
      <c r="C111" s="377">
        <v>1.2999999999999999E-3</v>
      </c>
      <c r="D111" s="378"/>
      <c r="E111" s="278" t="s">
        <v>330</v>
      </c>
      <c r="F111" s="291"/>
      <c r="G111" s="291"/>
      <c r="H111" s="776"/>
      <c r="I111" s="776"/>
      <c r="J111" s="776"/>
      <c r="K111" s="776"/>
      <c r="L111" s="776"/>
      <c r="M111" s="776"/>
    </row>
    <row r="112" spans="1:16" ht="15.75" customHeight="1" x14ac:dyDescent="0.2">
      <c r="A112" s="286" t="s">
        <v>5</v>
      </c>
      <c r="B112" s="101" t="s">
        <v>28</v>
      </c>
      <c r="C112" s="377">
        <v>2.8E-3</v>
      </c>
      <c r="D112" s="379"/>
      <c r="E112" s="278" t="s">
        <v>330</v>
      </c>
      <c r="F112" s="125"/>
      <c r="G112" s="125"/>
      <c r="H112" s="776"/>
      <c r="I112" s="776"/>
      <c r="J112" s="776"/>
      <c r="K112" s="776"/>
      <c r="L112" s="776"/>
      <c r="M112" s="776"/>
    </row>
    <row r="113" spans="1:243" ht="15.75" customHeight="1" x14ac:dyDescent="0.2">
      <c r="A113" s="286" t="s">
        <v>6</v>
      </c>
      <c r="B113" s="101" t="s">
        <v>80</v>
      </c>
      <c r="C113" s="377">
        <v>3.3E-3</v>
      </c>
      <c r="D113" s="379"/>
      <c r="E113" s="278"/>
      <c r="F113" s="102"/>
      <c r="G113" s="102"/>
      <c r="H113" s="776" t="s">
        <v>395</v>
      </c>
      <c r="I113" s="776"/>
      <c r="J113" s="776"/>
      <c r="K113" s="776"/>
      <c r="L113" s="776"/>
      <c r="M113" s="776"/>
    </row>
    <row r="114" spans="1:243" ht="15.75" customHeight="1" x14ac:dyDescent="0.2">
      <c r="A114" s="292" t="s">
        <v>7</v>
      </c>
      <c r="B114" s="329" t="s">
        <v>81</v>
      </c>
      <c r="C114" s="380">
        <v>0</v>
      </c>
      <c r="D114" s="379"/>
      <c r="E114" s="290"/>
      <c r="F114" s="293"/>
      <c r="G114" s="293"/>
      <c r="H114" s="776"/>
      <c r="I114" s="776"/>
      <c r="J114" s="776"/>
      <c r="K114" s="776"/>
      <c r="L114" s="776"/>
      <c r="M114" s="776"/>
    </row>
    <row r="115" spans="1:243" ht="15.75" customHeight="1" x14ac:dyDescent="0.2">
      <c r="A115" s="729" t="s">
        <v>71</v>
      </c>
      <c r="B115" s="730"/>
      <c r="C115" s="381">
        <f>SUM(C109:C114)</f>
        <v>0.1046</v>
      </c>
      <c r="D115" s="379"/>
      <c r="E115" s="290"/>
      <c r="F115" s="119"/>
      <c r="G115" s="119"/>
      <c r="H115" s="776"/>
      <c r="I115" s="776"/>
      <c r="J115" s="776"/>
      <c r="K115" s="776"/>
      <c r="L115" s="776"/>
      <c r="M115" s="776"/>
    </row>
    <row r="116" spans="1:243" ht="33.75" customHeight="1" x14ac:dyDescent="0.2">
      <c r="A116" s="294" t="s">
        <v>8</v>
      </c>
      <c r="B116" s="331" t="s">
        <v>154</v>
      </c>
      <c r="C116" s="382">
        <f>C115*C89</f>
        <v>3.7600000000000001E-2</v>
      </c>
      <c r="D116" s="379"/>
      <c r="E116" s="290"/>
      <c r="F116" s="125"/>
      <c r="G116" s="125"/>
      <c r="H116" s="287" t="s">
        <v>376</v>
      </c>
      <c r="I116" s="119"/>
      <c r="J116" s="119"/>
      <c r="K116" s="119"/>
      <c r="L116" s="119"/>
      <c r="M116" s="119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  <c r="DF116" s="52"/>
      <c r="DG116" s="52"/>
      <c r="DH116" s="52"/>
      <c r="DI116" s="52"/>
      <c r="DJ116" s="52"/>
      <c r="DK116" s="52"/>
      <c r="DL116" s="52"/>
      <c r="DM116" s="52"/>
      <c r="DN116" s="52"/>
      <c r="DO116" s="52"/>
      <c r="DP116" s="52"/>
      <c r="DQ116" s="52"/>
      <c r="DR116" s="52"/>
      <c r="DS116" s="52"/>
      <c r="DT116" s="52"/>
      <c r="DU116" s="52"/>
      <c r="DV116" s="52"/>
      <c r="DW116" s="52"/>
      <c r="DX116" s="52"/>
      <c r="DY116" s="52"/>
      <c r="DZ116" s="52"/>
      <c r="EA116" s="52"/>
      <c r="EB116" s="52"/>
      <c r="EC116" s="52"/>
      <c r="ED116" s="52"/>
      <c r="EE116" s="52"/>
      <c r="EF116" s="52"/>
      <c r="EG116" s="52"/>
      <c r="EH116" s="52"/>
      <c r="EI116" s="52"/>
      <c r="EJ116" s="52"/>
      <c r="EK116" s="52"/>
      <c r="EL116" s="52"/>
      <c r="EM116" s="52"/>
      <c r="EN116" s="52"/>
      <c r="EO116" s="52"/>
      <c r="EP116" s="52"/>
      <c r="EQ116" s="52"/>
      <c r="ER116" s="52"/>
      <c r="ES116" s="52"/>
      <c r="ET116" s="52"/>
      <c r="EU116" s="52"/>
      <c r="EV116" s="52"/>
      <c r="EW116" s="52"/>
      <c r="EX116" s="52"/>
      <c r="EY116" s="52"/>
      <c r="EZ116" s="52"/>
      <c r="FA116" s="52"/>
      <c r="FB116" s="52"/>
      <c r="FC116" s="52"/>
      <c r="FD116" s="52"/>
      <c r="FE116" s="52"/>
      <c r="FF116" s="52"/>
      <c r="FG116" s="52"/>
      <c r="FH116" s="52"/>
      <c r="FI116" s="52"/>
      <c r="FJ116" s="52"/>
      <c r="FK116" s="52"/>
      <c r="FL116" s="52"/>
      <c r="FM116" s="52"/>
      <c r="FN116" s="52"/>
      <c r="FO116" s="52"/>
      <c r="FP116" s="52"/>
      <c r="FQ116" s="52"/>
      <c r="FR116" s="52"/>
      <c r="FS116" s="52"/>
      <c r="FT116" s="52"/>
      <c r="FU116" s="52"/>
      <c r="FV116" s="52"/>
      <c r="FW116" s="52"/>
      <c r="FX116" s="52"/>
      <c r="FY116" s="52"/>
      <c r="FZ116" s="52"/>
      <c r="GA116" s="52"/>
      <c r="GB116" s="52"/>
      <c r="GC116" s="52"/>
      <c r="GD116" s="52"/>
      <c r="GE116" s="52"/>
      <c r="GF116" s="52"/>
      <c r="GG116" s="52"/>
      <c r="GH116" s="52"/>
      <c r="GI116" s="52"/>
      <c r="GJ116" s="52"/>
      <c r="GK116" s="52"/>
      <c r="GL116" s="52"/>
      <c r="GM116" s="52"/>
      <c r="GN116" s="52"/>
      <c r="GO116" s="52"/>
      <c r="GP116" s="52"/>
      <c r="GQ116" s="52"/>
      <c r="GR116" s="52"/>
      <c r="GS116" s="52"/>
      <c r="GT116" s="52"/>
      <c r="GU116" s="52"/>
      <c r="GV116" s="52"/>
      <c r="GW116" s="52"/>
      <c r="GX116" s="52"/>
      <c r="GY116" s="52"/>
      <c r="GZ116" s="52"/>
      <c r="HA116" s="52"/>
      <c r="HB116" s="52"/>
      <c r="HC116" s="52"/>
      <c r="HD116" s="52"/>
      <c r="HE116" s="52"/>
      <c r="HF116" s="52"/>
      <c r="HG116" s="52"/>
      <c r="HH116" s="52"/>
      <c r="HI116" s="52"/>
      <c r="HJ116" s="52"/>
      <c r="HK116" s="52"/>
      <c r="HL116" s="52"/>
      <c r="HM116" s="52"/>
      <c r="HN116" s="52"/>
      <c r="HO116" s="52"/>
      <c r="HP116" s="52"/>
      <c r="HQ116" s="52"/>
      <c r="HR116" s="52"/>
      <c r="HS116" s="52"/>
      <c r="HT116" s="52"/>
      <c r="HU116" s="52"/>
      <c r="HV116" s="52"/>
      <c r="HW116" s="52"/>
      <c r="HX116" s="52"/>
      <c r="HY116" s="52"/>
      <c r="HZ116" s="52"/>
      <c r="IA116" s="52"/>
      <c r="IB116" s="52"/>
      <c r="IC116" s="52"/>
      <c r="ID116" s="52"/>
      <c r="IE116" s="52"/>
      <c r="IF116" s="52"/>
      <c r="IG116" s="52"/>
      <c r="IH116" s="52"/>
      <c r="II116" s="52"/>
    </row>
    <row r="117" spans="1:243" ht="15.75" customHeight="1" x14ac:dyDescent="0.2">
      <c r="A117" s="769" t="s">
        <v>62</v>
      </c>
      <c r="B117" s="770"/>
      <c r="C117" s="383">
        <f>C115+C116</f>
        <v>0.14219999999999999</v>
      </c>
      <c r="D117" s="379"/>
      <c r="E117" s="290"/>
      <c r="F117" s="125"/>
      <c r="G117" s="125"/>
      <c r="H117" s="287" t="s">
        <v>234</v>
      </c>
      <c r="I117" s="119"/>
      <c r="J117" s="119"/>
      <c r="K117" s="119"/>
      <c r="L117" s="119"/>
      <c r="M117" s="119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  <c r="DF117" s="52"/>
      <c r="DG117" s="52"/>
      <c r="DH117" s="52"/>
      <c r="DI117" s="52"/>
      <c r="DJ117" s="52"/>
      <c r="DK117" s="52"/>
      <c r="DL117" s="52"/>
      <c r="DM117" s="52"/>
      <c r="DN117" s="52"/>
      <c r="DO117" s="52"/>
      <c r="DP117" s="52"/>
      <c r="DQ117" s="52"/>
      <c r="DR117" s="52"/>
      <c r="DS117" s="52"/>
      <c r="DT117" s="52"/>
      <c r="DU117" s="52"/>
      <c r="DV117" s="52"/>
      <c r="DW117" s="52"/>
      <c r="DX117" s="52"/>
      <c r="DY117" s="52"/>
      <c r="DZ117" s="52"/>
      <c r="EA117" s="52"/>
      <c r="EB117" s="52"/>
      <c r="EC117" s="52"/>
      <c r="ED117" s="52"/>
      <c r="EE117" s="52"/>
      <c r="EF117" s="52"/>
      <c r="EG117" s="52"/>
      <c r="EH117" s="52"/>
      <c r="EI117" s="52"/>
      <c r="EJ117" s="52"/>
      <c r="EK117" s="52"/>
      <c r="EL117" s="52"/>
      <c r="EM117" s="52"/>
      <c r="EN117" s="52"/>
      <c r="EO117" s="52"/>
      <c r="EP117" s="52"/>
      <c r="EQ117" s="52"/>
      <c r="ER117" s="52"/>
      <c r="ES117" s="52"/>
      <c r="ET117" s="52"/>
      <c r="EU117" s="52"/>
      <c r="EV117" s="52"/>
      <c r="EW117" s="52"/>
      <c r="EX117" s="52"/>
      <c r="EY117" s="52"/>
      <c r="EZ117" s="52"/>
      <c r="FA117" s="52"/>
      <c r="FB117" s="52"/>
      <c r="FC117" s="52"/>
      <c r="FD117" s="52"/>
      <c r="FE117" s="52"/>
      <c r="FF117" s="52"/>
      <c r="FG117" s="52"/>
      <c r="FH117" s="52"/>
      <c r="FI117" s="52"/>
      <c r="FJ117" s="52"/>
      <c r="FK117" s="52"/>
      <c r="FL117" s="52"/>
      <c r="FM117" s="52"/>
      <c r="FN117" s="52"/>
      <c r="FO117" s="52"/>
      <c r="FP117" s="52"/>
      <c r="FQ117" s="52"/>
      <c r="FR117" s="52"/>
      <c r="FS117" s="52"/>
      <c r="FT117" s="52"/>
      <c r="FU117" s="52"/>
      <c r="FV117" s="52"/>
      <c r="FW117" s="52"/>
      <c r="FX117" s="52"/>
      <c r="FY117" s="52"/>
      <c r="FZ117" s="52"/>
      <c r="GA117" s="52"/>
      <c r="GB117" s="52"/>
      <c r="GC117" s="52"/>
      <c r="GD117" s="52"/>
      <c r="GE117" s="52"/>
      <c r="GF117" s="52"/>
      <c r="GG117" s="52"/>
      <c r="GH117" s="52"/>
      <c r="GI117" s="52"/>
      <c r="GJ117" s="52"/>
      <c r="GK117" s="52"/>
      <c r="GL117" s="52"/>
      <c r="GM117" s="52"/>
      <c r="GN117" s="52"/>
      <c r="GO117" s="52"/>
      <c r="GP117" s="52"/>
      <c r="GQ117" s="52"/>
      <c r="GR117" s="52"/>
      <c r="GS117" s="52"/>
      <c r="GT117" s="52"/>
      <c r="GU117" s="52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</row>
    <row r="118" spans="1:243" ht="15.75" customHeight="1" thickBot="1" x14ac:dyDescent="0.25">
      <c r="A118" s="759" t="s">
        <v>82</v>
      </c>
      <c r="B118" s="760"/>
      <c r="C118" s="384">
        <f>TRUNC(C89+C95+C99+C107+C117,4)</f>
        <v>0.73460000000000003</v>
      </c>
      <c r="D118" s="385" t="s">
        <v>293</v>
      </c>
      <c r="E118" s="295"/>
      <c r="F118" s="296"/>
      <c r="G118" s="296"/>
      <c r="H118" s="287" t="s">
        <v>243</v>
      </c>
      <c r="I118" s="119"/>
      <c r="J118" s="119"/>
      <c r="K118" s="119"/>
      <c r="L118" s="119"/>
      <c r="M118" s="11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  <c r="DF118" s="52"/>
      <c r="DG118" s="52"/>
      <c r="DH118" s="52"/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  <c r="DT118" s="52"/>
      <c r="DU118" s="52"/>
      <c r="DV118" s="52"/>
      <c r="DW118" s="52"/>
      <c r="DX118" s="52"/>
      <c r="DY118" s="52"/>
      <c r="DZ118" s="52"/>
      <c r="EA118" s="52"/>
      <c r="EB118" s="52"/>
      <c r="EC118" s="52"/>
      <c r="ED118" s="52"/>
      <c r="EE118" s="52"/>
      <c r="EF118" s="52"/>
      <c r="EG118" s="52"/>
      <c r="EH118" s="52"/>
      <c r="EI118" s="52"/>
      <c r="EJ118" s="52"/>
      <c r="EK118" s="52"/>
      <c r="EL118" s="52"/>
      <c r="EM118" s="52"/>
      <c r="EN118" s="52"/>
      <c r="EO118" s="52"/>
      <c r="EP118" s="52"/>
      <c r="EQ118" s="52"/>
      <c r="ER118" s="52"/>
      <c r="ES118" s="52"/>
      <c r="ET118" s="52"/>
      <c r="EU118" s="52"/>
      <c r="EV118" s="52"/>
      <c r="EW118" s="52"/>
      <c r="EX118" s="52"/>
      <c r="EY118" s="52"/>
      <c r="EZ118" s="52"/>
      <c r="FA118" s="52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  <c r="FP118" s="52"/>
      <c r="FQ118" s="52"/>
      <c r="FR118" s="52"/>
      <c r="FS118" s="52"/>
      <c r="FT118" s="52"/>
      <c r="FU118" s="52"/>
      <c r="FV118" s="52"/>
      <c r="FW118" s="52"/>
      <c r="FX118" s="52"/>
      <c r="FY118" s="52"/>
      <c r="FZ118" s="52"/>
      <c r="GA118" s="52"/>
      <c r="GB118" s="52"/>
      <c r="GC118" s="52"/>
      <c r="GD118" s="52"/>
      <c r="GE118" s="52"/>
      <c r="GF118" s="52"/>
      <c r="GG118" s="52"/>
      <c r="GH118" s="52"/>
      <c r="GI118" s="52"/>
      <c r="GJ118" s="52"/>
      <c r="GK118" s="52"/>
      <c r="GL118" s="52"/>
      <c r="GM118" s="52"/>
      <c r="GN118" s="52"/>
      <c r="GO118" s="52"/>
      <c r="GP118" s="52"/>
      <c r="GQ118" s="52"/>
      <c r="GR118" s="52"/>
      <c r="GS118" s="52"/>
      <c r="GT118" s="52"/>
      <c r="GU118" s="52"/>
      <c r="GV118" s="52"/>
      <c r="GW118" s="52"/>
      <c r="GX118" s="52"/>
      <c r="GY118" s="52"/>
      <c r="GZ118" s="52"/>
      <c r="HA118" s="52"/>
      <c r="HB118" s="52"/>
      <c r="HC118" s="52"/>
      <c r="HD118" s="52"/>
      <c r="HE118" s="52"/>
      <c r="HF118" s="52"/>
      <c r="HG118" s="52"/>
      <c r="HH118" s="52"/>
      <c r="HI118" s="52"/>
      <c r="HJ118" s="52"/>
      <c r="HK118" s="52"/>
      <c r="HL118" s="52"/>
      <c r="HM118" s="52"/>
      <c r="HN118" s="52"/>
      <c r="HO118" s="52"/>
      <c r="HP118" s="52"/>
      <c r="HQ118" s="52"/>
      <c r="HR118" s="52"/>
      <c r="HS118" s="52"/>
      <c r="HT118" s="52"/>
      <c r="HU118" s="52"/>
      <c r="HV118" s="52"/>
      <c r="HW118" s="52"/>
      <c r="HX118" s="52"/>
      <c r="HY118" s="52"/>
      <c r="HZ118" s="52"/>
      <c r="IA118" s="52"/>
      <c r="IB118" s="52"/>
      <c r="IC118" s="52"/>
      <c r="ID118" s="52"/>
      <c r="IE118" s="52"/>
      <c r="IF118" s="52"/>
      <c r="IG118" s="52"/>
      <c r="IH118" s="52"/>
      <c r="II118" s="52"/>
    </row>
    <row r="119" spans="1:243" ht="15.75" customHeight="1" x14ac:dyDescent="0.2">
      <c r="A119" s="660" t="s">
        <v>324</v>
      </c>
      <c r="B119" s="660"/>
      <c r="C119" s="660"/>
      <c r="D119" s="250"/>
      <c r="E119" s="102"/>
      <c r="F119" s="102"/>
      <c r="G119" s="102"/>
      <c r="H119" s="287" t="s">
        <v>372</v>
      </c>
      <c r="I119" s="119"/>
      <c r="J119" s="119"/>
      <c r="K119" s="119"/>
      <c r="L119" s="119"/>
      <c r="M119" s="119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  <c r="EE119" s="52"/>
      <c r="EF119" s="52"/>
      <c r="EG119" s="52"/>
      <c r="EH119" s="52"/>
      <c r="EI119" s="52"/>
      <c r="EJ119" s="52"/>
      <c r="EK119" s="52"/>
      <c r="EL119" s="52"/>
      <c r="EM119" s="52"/>
      <c r="EN119" s="52"/>
      <c r="EO119" s="52"/>
      <c r="EP119" s="52"/>
      <c r="EQ119" s="52"/>
      <c r="ER119" s="52"/>
      <c r="ES119" s="52"/>
      <c r="ET119" s="52"/>
      <c r="EU119" s="52"/>
      <c r="EV119" s="52"/>
      <c r="EW119" s="52"/>
      <c r="EX119" s="52"/>
      <c r="EY119" s="52"/>
      <c r="EZ119" s="52"/>
      <c r="FA119" s="52"/>
      <c r="FB119" s="52"/>
      <c r="FC119" s="52"/>
      <c r="FD119" s="52"/>
      <c r="FE119" s="52"/>
      <c r="FF119" s="52"/>
      <c r="FG119" s="52"/>
      <c r="FH119" s="52"/>
      <c r="FI119" s="52"/>
      <c r="FJ119" s="52"/>
      <c r="FK119" s="52"/>
      <c r="FL119" s="52"/>
      <c r="FM119" s="52"/>
      <c r="FN119" s="52"/>
      <c r="FO119" s="52"/>
      <c r="FP119" s="52"/>
      <c r="FQ119" s="52"/>
      <c r="FR119" s="52"/>
      <c r="FS119" s="52"/>
      <c r="FT119" s="52"/>
      <c r="FU119" s="52"/>
      <c r="FV119" s="52"/>
      <c r="FW119" s="52"/>
      <c r="FX119" s="52"/>
      <c r="FY119" s="52"/>
      <c r="FZ119" s="52"/>
      <c r="GA119" s="52"/>
      <c r="GB119" s="52"/>
      <c r="GC119" s="52"/>
      <c r="GD119" s="52"/>
      <c r="GE119" s="52"/>
      <c r="GF119" s="52"/>
      <c r="GG119" s="52"/>
      <c r="GH119" s="52"/>
      <c r="GI119" s="52"/>
      <c r="GJ119" s="52"/>
      <c r="GK119" s="52"/>
      <c r="GL119" s="52"/>
      <c r="GM119" s="52"/>
      <c r="GN119" s="52"/>
      <c r="GO119" s="52"/>
      <c r="GP119" s="52"/>
      <c r="GQ119" s="52"/>
      <c r="GR119" s="52"/>
      <c r="GS119" s="52"/>
      <c r="GT119" s="52"/>
      <c r="GU119" s="52"/>
      <c r="GV119" s="52"/>
      <c r="GW119" s="52"/>
      <c r="GX119" s="52"/>
      <c r="GY119" s="52"/>
      <c r="GZ119" s="52"/>
      <c r="HA119" s="52"/>
      <c r="HB119" s="52"/>
      <c r="HC119" s="52"/>
      <c r="HD119" s="52"/>
      <c r="HE119" s="52"/>
      <c r="HF119" s="52"/>
      <c r="HG119" s="52"/>
      <c r="HH119" s="52"/>
      <c r="HI119" s="52"/>
      <c r="HJ119" s="52"/>
      <c r="HK119" s="52"/>
      <c r="HL119" s="52"/>
      <c r="HM119" s="52"/>
      <c r="HN119" s="52"/>
      <c r="HO119" s="52"/>
      <c r="HP119" s="52"/>
      <c r="HQ119" s="52"/>
      <c r="HR119" s="52"/>
      <c r="HS119" s="52"/>
      <c r="HT119" s="52"/>
      <c r="HU119" s="52"/>
      <c r="HV119" s="52"/>
      <c r="HW119" s="52"/>
      <c r="HX119" s="52"/>
      <c r="HY119" s="52"/>
      <c r="HZ119" s="52"/>
      <c r="IA119" s="52"/>
      <c r="IB119" s="52"/>
      <c r="IC119" s="52"/>
      <c r="ID119" s="52"/>
      <c r="IE119" s="52"/>
      <c r="IF119" s="52"/>
      <c r="IG119" s="52"/>
      <c r="IH119" s="52"/>
      <c r="II119" s="52"/>
    </row>
    <row r="120" spans="1:243" ht="24" x14ac:dyDescent="0.2">
      <c r="A120" s="661"/>
      <c r="B120" s="661"/>
      <c r="C120" s="661"/>
      <c r="D120" s="386" t="s">
        <v>387</v>
      </c>
      <c r="E120" s="102"/>
      <c r="F120" s="102"/>
      <c r="G120" s="102"/>
      <c r="H120" s="287" t="s">
        <v>377</v>
      </c>
      <c r="I120" s="119"/>
      <c r="J120" s="119"/>
      <c r="K120" s="119"/>
      <c r="L120" s="119"/>
      <c r="M120" s="119"/>
    </row>
    <row r="121" spans="1:243" ht="15" x14ac:dyDescent="0.2">
      <c r="A121" s="119"/>
      <c r="B121" s="323"/>
      <c r="C121" s="323"/>
      <c r="D121" s="323"/>
      <c r="E121" s="119"/>
      <c r="F121" s="119"/>
      <c r="G121" s="119"/>
      <c r="H121" s="287" t="s">
        <v>378</v>
      </c>
      <c r="I121" s="119"/>
      <c r="J121" s="119"/>
      <c r="K121" s="119"/>
      <c r="L121" s="119"/>
      <c r="M121" s="119"/>
    </row>
  </sheetData>
  <mergeCells count="74">
    <mergeCell ref="A27:C27"/>
    <mergeCell ref="F1:I1"/>
    <mergeCell ref="H109:M112"/>
    <mergeCell ref="H113:M115"/>
    <mergeCell ref="H92:I92"/>
    <mergeCell ref="H96:I96"/>
    <mergeCell ref="H100:I100"/>
    <mergeCell ref="H104:I104"/>
    <mergeCell ref="H91:M91"/>
    <mergeCell ref="H99:M99"/>
    <mergeCell ref="F33:F34"/>
    <mergeCell ref="E33:E34"/>
    <mergeCell ref="A43:F43"/>
    <mergeCell ref="J40:J41"/>
    <mergeCell ref="A55:C55"/>
    <mergeCell ref="G46:M48"/>
    <mergeCell ref="A118:B118"/>
    <mergeCell ref="B80:C80"/>
    <mergeCell ref="A89:B89"/>
    <mergeCell ref="B90:C90"/>
    <mergeCell ref="A93:B93"/>
    <mergeCell ref="A117:B117"/>
    <mergeCell ref="B108:C108"/>
    <mergeCell ref="B96:C96"/>
    <mergeCell ref="A95:B95"/>
    <mergeCell ref="B100:C100"/>
    <mergeCell ref="H82:I82"/>
    <mergeCell ref="J81:L81"/>
    <mergeCell ref="F37:F38"/>
    <mergeCell ref="A99:B99"/>
    <mergeCell ref="J82:L82"/>
    <mergeCell ref="G44:M45"/>
    <mergeCell ref="M40:M41"/>
    <mergeCell ref="A46:E48"/>
    <mergeCell ref="F46:F48"/>
    <mergeCell ref="A53:C53"/>
    <mergeCell ref="A54:C54"/>
    <mergeCell ref="C9:D9"/>
    <mergeCell ref="C3:D3"/>
    <mergeCell ref="C10:D10"/>
    <mergeCell ref="C13:D13"/>
    <mergeCell ref="A76:B76"/>
    <mergeCell ref="C11:D11"/>
    <mergeCell ref="C12:D12"/>
    <mergeCell ref="A19:M19"/>
    <mergeCell ref="L67:M67"/>
    <mergeCell ref="C8:D8"/>
    <mergeCell ref="H69:M71"/>
    <mergeCell ref="A36:E36"/>
    <mergeCell ref="L29:M29"/>
    <mergeCell ref="A65:B65"/>
    <mergeCell ref="A44:E45"/>
    <mergeCell ref="F44:F45"/>
    <mergeCell ref="L1:M1"/>
    <mergeCell ref="C4:D4"/>
    <mergeCell ref="C5:D5"/>
    <mergeCell ref="C6:D6"/>
    <mergeCell ref="C7:D7"/>
    <mergeCell ref="A119:C120"/>
    <mergeCell ref="A16:M16"/>
    <mergeCell ref="K65:M65"/>
    <mergeCell ref="L66:M66"/>
    <mergeCell ref="I64:K64"/>
    <mergeCell ref="L64:M64"/>
    <mergeCell ref="D27:D28"/>
    <mergeCell ref="A17:M17"/>
    <mergeCell ref="H72:I72"/>
    <mergeCell ref="H76:I76"/>
    <mergeCell ref="A18:M18"/>
    <mergeCell ref="H88:M90"/>
    <mergeCell ref="H81:I81"/>
    <mergeCell ref="A115:B115"/>
    <mergeCell ref="H80:M80"/>
    <mergeCell ref="A107:B107"/>
  </mergeCells>
  <printOptions horizontalCentered="1"/>
  <pageMargins left="0.39370078740157483" right="0.27559055118110237" top="0.47244094488188981" bottom="0.19685039370078741" header="0.27559055118110237" footer="0.19685039370078741"/>
  <pageSetup paperSize="9" scale="33" fitToHeight="0" orientation="portrait" r:id="rId1"/>
  <headerFooter alignWithMargins="0"/>
  <ignoredErrors>
    <ignoredError sqref="I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8" tint="0.79998168889431442"/>
    <pageSetUpPr fitToPage="1"/>
  </sheetPr>
  <dimension ref="A1:N75"/>
  <sheetViews>
    <sheetView view="pageBreakPreview" topLeftCell="A10" zoomScale="110" zoomScaleNormal="100" zoomScaleSheetLayoutView="110" workbookViewId="0">
      <selection activeCell="A16" sqref="A16:H20"/>
    </sheetView>
  </sheetViews>
  <sheetFormatPr defaultRowHeight="12.75" x14ac:dyDescent="0.2"/>
  <cols>
    <col min="1" max="1" width="9.5703125" style="414" customWidth="1"/>
    <col min="2" max="2" width="37.140625" style="414" customWidth="1"/>
    <col min="3" max="3" width="34.28515625" style="414" customWidth="1"/>
    <col min="4" max="4" width="18.28515625" style="414" customWidth="1"/>
    <col min="5" max="5" width="16.7109375" style="414" customWidth="1"/>
    <col min="6" max="6" width="21" style="414" customWidth="1"/>
    <col min="7" max="7" width="20" style="414" customWidth="1"/>
    <col min="8" max="8" width="21.85546875" style="414" customWidth="1"/>
    <col min="9" max="9" width="10" style="2" bestFit="1" customWidth="1"/>
    <col min="10" max="10" width="13.7109375" style="2" bestFit="1" customWidth="1"/>
    <col min="11" max="12" width="9.140625" style="2"/>
    <col min="13" max="13" width="12.28515625" style="2" bestFit="1" customWidth="1"/>
    <col min="14" max="16384" width="9.140625" style="2"/>
  </cols>
  <sheetData>
    <row r="1" spans="1:14" x14ac:dyDescent="0.2">
      <c r="A1" s="388" t="str">
        <f>DADOS!A1</f>
        <v>PROPOSTA DE PREÇOS Nº 011/2017</v>
      </c>
      <c r="B1" s="389"/>
      <c r="C1" s="389"/>
      <c r="D1" s="389"/>
      <c r="E1" s="389"/>
      <c r="F1" s="389"/>
      <c r="G1" s="389"/>
      <c r="H1" s="389"/>
      <c r="N1" s="3"/>
    </row>
    <row r="2" spans="1:14" ht="24" customHeight="1" x14ac:dyDescent="0.2">
      <c r="A2" s="389"/>
      <c r="B2" s="389"/>
      <c r="C2" s="389"/>
      <c r="D2" s="389"/>
      <c r="E2" s="389"/>
      <c r="F2" s="389"/>
      <c r="G2" s="389"/>
      <c r="H2" s="389"/>
    </row>
    <row r="3" spans="1:14" s="4" customFormat="1" x14ac:dyDescent="0.2">
      <c r="A3" s="389" t="s">
        <v>200</v>
      </c>
      <c r="B3" s="389"/>
      <c r="C3" s="389"/>
      <c r="D3" s="389"/>
      <c r="E3" s="389"/>
      <c r="F3" s="389"/>
      <c r="G3" s="389"/>
      <c r="H3" s="389"/>
    </row>
    <row r="4" spans="1:14" s="4" customFormat="1" x14ac:dyDescent="0.2">
      <c r="A4" s="390" t="str">
        <f>DADOS!A16</f>
        <v>MINISTÉRIO DE MINAS E ENERGIA - MME</v>
      </c>
      <c r="B4" s="389"/>
      <c r="C4" s="389"/>
      <c r="D4" s="389"/>
      <c r="E4" s="389"/>
      <c r="F4" s="389"/>
      <c r="G4" s="389"/>
      <c r="H4" s="389"/>
    </row>
    <row r="5" spans="1:14" s="4" customFormat="1" x14ac:dyDescent="0.2">
      <c r="A5" s="391" t="s">
        <v>228</v>
      </c>
      <c r="B5" s="389"/>
      <c r="C5" s="389"/>
      <c r="D5" s="389"/>
      <c r="E5" s="389"/>
      <c r="F5" s="389"/>
      <c r="G5" s="389"/>
      <c r="H5" s="389"/>
    </row>
    <row r="6" spans="1:14" s="4" customFormat="1" x14ac:dyDescent="0.2">
      <c r="A6" s="391" t="s">
        <v>229</v>
      </c>
      <c r="B6" s="389"/>
      <c r="C6" s="389"/>
      <c r="D6" s="389"/>
      <c r="E6" s="389"/>
      <c r="F6" s="389"/>
      <c r="G6" s="389"/>
      <c r="H6" s="389"/>
    </row>
    <row r="7" spans="1:14" s="4" customFormat="1" x14ac:dyDescent="0.2">
      <c r="A7" s="391" t="s">
        <v>230</v>
      </c>
      <c r="B7" s="389"/>
      <c r="C7" s="389"/>
      <c r="D7" s="389"/>
      <c r="E7" s="389"/>
      <c r="F7" s="389"/>
      <c r="G7" s="389"/>
      <c r="H7" s="389"/>
    </row>
    <row r="8" spans="1:14" s="4" customFormat="1" x14ac:dyDescent="0.2">
      <c r="A8" s="391" t="s">
        <v>231</v>
      </c>
      <c r="B8" s="389"/>
      <c r="C8" s="389"/>
      <c r="D8" s="389"/>
      <c r="E8" s="389"/>
      <c r="F8" s="389"/>
      <c r="G8" s="389"/>
      <c r="H8" s="389"/>
    </row>
    <row r="9" spans="1:14" x14ac:dyDescent="0.2">
      <c r="A9" s="392" t="s">
        <v>83</v>
      </c>
      <c r="B9" s="389"/>
      <c r="C9" s="389"/>
      <c r="D9" s="389"/>
      <c r="E9" s="389"/>
      <c r="F9" s="389"/>
      <c r="G9" s="389"/>
      <c r="H9" s="389"/>
    </row>
    <row r="10" spans="1:14" ht="18.75" customHeight="1" x14ac:dyDescent="0.2">
      <c r="A10" s="389"/>
      <c r="B10" s="389"/>
      <c r="C10" s="389"/>
      <c r="D10" s="389"/>
      <c r="E10" s="389"/>
      <c r="F10" s="389"/>
      <c r="G10" s="389"/>
      <c r="H10" s="389"/>
    </row>
    <row r="11" spans="1:14" x14ac:dyDescent="0.2">
      <c r="A11" s="388" t="s">
        <v>180</v>
      </c>
      <c r="B11" s="390" t="str">
        <f>DADOS!A18</f>
        <v>PREGÃO ELETRÔNICO Nº 001/2017 - MME</v>
      </c>
      <c r="C11" s="388"/>
      <c r="D11" s="388"/>
      <c r="E11" s="388"/>
      <c r="F11" s="388"/>
      <c r="G11" s="388"/>
      <c r="H11" s="389"/>
    </row>
    <row r="12" spans="1:14" x14ac:dyDescent="0.2">
      <c r="A12" s="388" t="s">
        <v>232</v>
      </c>
      <c r="B12" s="390"/>
      <c r="C12" s="388"/>
      <c r="D12" s="388"/>
      <c r="E12" s="388"/>
      <c r="F12" s="388"/>
      <c r="G12" s="388"/>
      <c r="H12" s="389"/>
    </row>
    <row r="13" spans="1:14" ht="30" customHeight="1" x14ac:dyDescent="0.2">
      <c r="A13" s="389"/>
      <c r="B13" s="389"/>
      <c r="C13" s="389"/>
      <c r="D13" s="389"/>
      <c r="E13" s="389"/>
      <c r="F13" s="389"/>
      <c r="G13" s="389"/>
      <c r="H13" s="389"/>
    </row>
    <row r="14" spans="1:14" x14ac:dyDescent="0.2">
      <c r="A14" s="389"/>
      <c r="B14" s="391" t="s">
        <v>331</v>
      </c>
      <c r="C14" s="389"/>
      <c r="D14" s="389"/>
      <c r="E14" s="389"/>
      <c r="F14" s="389"/>
      <c r="G14" s="389"/>
      <c r="H14" s="389"/>
    </row>
    <row r="15" spans="1:14" s="5" customFormat="1" ht="8.25" customHeight="1" x14ac:dyDescent="0.2">
      <c r="A15" s="389"/>
      <c r="B15" s="389"/>
      <c r="C15" s="389"/>
      <c r="D15" s="389"/>
      <c r="E15" s="389"/>
      <c r="F15" s="389"/>
      <c r="G15" s="389"/>
      <c r="H15" s="389"/>
    </row>
    <row r="16" spans="1:14" s="5" customFormat="1" x14ac:dyDescent="0.2">
      <c r="A16" s="790" t="s">
        <v>400</v>
      </c>
      <c r="B16" s="790"/>
      <c r="C16" s="790"/>
      <c r="D16" s="790"/>
      <c r="E16" s="790"/>
      <c r="F16" s="790"/>
      <c r="G16" s="790"/>
      <c r="H16" s="790"/>
    </row>
    <row r="17" spans="1:13" s="5" customFormat="1" ht="16.5" customHeight="1" x14ac:dyDescent="0.2">
      <c r="A17" s="790"/>
      <c r="B17" s="790"/>
      <c r="C17" s="790"/>
      <c r="D17" s="790"/>
      <c r="E17" s="790"/>
      <c r="F17" s="790"/>
      <c r="G17" s="790"/>
      <c r="H17" s="790"/>
    </row>
    <row r="18" spans="1:13" s="5" customFormat="1" ht="15" customHeight="1" x14ac:dyDescent="0.2">
      <c r="A18" s="790"/>
      <c r="B18" s="790"/>
      <c r="C18" s="790"/>
      <c r="D18" s="790"/>
      <c r="E18" s="790"/>
      <c r="F18" s="790"/>
      <c r="G18" s="790"/>
      <c r="H18" s="790"/>
    </row>
    <row r="19" spans="1:13" s="5" customFormat="1" x14ac:dyDescent="0.2">
      <c r="A19" s="790"/>
      <c r="B19" s="790"/>
      <c r="C19" s="790"/>
      <c r="D19" s="790"/>
      <c r="E19" s="790"/>
      <c r="F19" s="790"/>
      <c r="G19" s="790"/>
      <c r="H19" s="790"/>
    </row>
    <row r="20" spans="1:13" s="5" customFormat="1" x14ac:dyDescent="0.2">
      <c r="A20" s="790"/>
      <c r="B20" s="790"/>
      <c r="C20" s="790"/>
      <c r="D20" s="790"/>
      <c r="E20" s="790"/>
      <c r="F20" s="790"/>
      <c r="G20" s="790"/>
      <c r="H20" s="790"/>
    </row>
    <row r="21" spans="1:13" s="5" customFormat="1" ht="12.75" customHeight="1" x14ac:dyDescent="0.2">
      <c r="A21" s="393"/>
      <c r="B21" s="393"/>
      <c r="C21" s="393"/>
      <c r="D21" s="393"/>
      <c r="E21" s="393"/>
      <c r="F21" s="393"/>
      <c r="G21" s="393"/>
      <c r="H21" s="393"/>
    </row>
    <row r="22" spans="1:13" s="5" customFormat="1" x14ac:dyDescent="0.2">
      <c r="A22" s="391" t="s">
        <v>369</v>
      </c>
      <c r="B22" s="393"/>
      <c r="C22" s="393"/>
      <c r="D22" s="393"/>
      <c r="E22" s="393"/>
      <c r="F22" s="393"/>
      <c r="G22" s="393"/>
      <c r="H22" s="393"/>
    </row>
    <row r="23" spans="1:13" s="5" customFormat="1" ht="5.25" customHeight="1" x14ac:dyDescent="0.2">
      <c r="A23" s="393"/>
      <c r="B23" s="393"/>
      <c r="C23" s="393"/>
      <c r="D23" s="393"/>
      <c r="E23" s="393"/>
      <c r="F23" s="393"/>
      <c r="G23" s="393"/>
      <c r="H23" s="393"/>
    </row>
    <row r="24" spans="1:13" s="6" customFormat="1" ht="25.5" x14ac:dyDescent="0.2">
      <c r="A24" s="799" t="s">
        <v>94</v>
      </c>
      <c r="B24" s="799" t="s">
        <v>169</v>
      </c>
      <c r="C24" s="800"/>
      <c r="D24" s="394" t="s">
        <v>95</v>
      </c>
      <c r="E24" s="797" t="s">
        <v>202</v>
      </c>
      <c r="F24" s="394" t="s">
        <v>193</v>
      </c>
      <c r="G24" s="394" t="s">
        <v>184</v>
      </c>
      <c r="H24" s="394" t="s">
        <v>204</v>
      </c>
      <c r="M24" s="7"/>
    </row>
    <row r="25" spans="1:13" s="6" customFormat="1" ht="18.75" customHeight="1" x14ac:dyDescent="0.2">
      <c r="A25" s="801"/>
      <c r="B25" s="806" t="s">
        <v>166</v>
      </c>
      <c r="C25" s="806"/>
      <c r="D25" s="395" t="s">
        <v>167</v>
      </c>
      <c r="E25" s="798"/>
      <c r="F25" s="395" t="s">
        <v>178</v>
      </c>
      <c r="G25" s="396" t="s">
        <v>168</v>
      </c>
      <c r="H25" s="395" t="s">
        <v>205</v>
      </c>
      <c r="M25" s="7"/>
    </row>
    <row r="26" spans="1:13" s="8" customFormat="1" ht="38.25" customHeight="1" x14ac:dyDescent="0.2">
      <c r="A26" s="397">
        <v>1</v>
      </c>
      <c r="B26" s="791" t="str">
        <f>DADOS!H73</f>
        <v>Supervisor Diurno Desarmado - 44hs semanais envolvendo 1 (um) funcionário</v>
      </c>
      <c r="C26" s="792"/>
      <c r="D26" s="398">
        <f>DADOS!J73</f>
        <v>1</v>
      </c>
      <c r="E26" s="398">
        <f>DADOS!L73</f>
        <v>1</v>
      </c>
      <c r="F26" s="399">
        <f>RESUMO!F8</f>
        <v>7922.18</v>
      </c>
      <c r="G26" s="399">
        <f>F26*D26</f>
        <v>7922.18</v>
      </c>
      <c r="H26" s="400">
        <f>G26*12</f>
        <v>95066.16</v>
      </c>
      <c r="I26" s="14"/>
      <c r="J26" s="9"/>
    </row>
    <row r="27" spans="1:13" s="8" customFormat="1" ht="38.25" customHeight="1" x14ac:dyDescent="0.2">
      <c r="A27" s="397">
        <v>2</v>
      </c>
      <c r="B27" s="791" t="str">
        <f>DADOS!H74</f>
        <v>Vigilante Diurno Desarmado - 12 horas de segunda-feira a domingo, envolvendo 2 (dois) vigilantes em turnos de 12x36hs</v>
      </c>
      <c r="C27" s="792"/>
      <c r="D27" s="398">
        <f>DADOS!J74</f>
        <v>6</v>
      </c>
      <c r="E27" s="398">
        <f>DADOS!L74</f>
        <v>12</v>
      </c>
      <c r="F27" s="399">
        <f>RESUMO!F9</f>
        <v>14327.52</v>
      </c>
      <c r="G27" s="399">
        <f>F27*D27</f>
        <v>85965.119999999995</v>
      </c>
      <c r="H27" s="400">
        <f>G27*12</f>
        <v>1031581.44</v>
      </c>
      <c r="I27" s="14"/>
      <c r="J27" s="9"/>
    </row>
    <row r="28" spans="1:13" s="8" customFormat="1" ht="38.25" customHeight="1" x14ac:dyDescent="0.2">
      <c r="A28" s="397">
        <v>3</v>
      </c>
      <c r="B28" s="791" t="str">
        <f>DADOS!H75</f>
        <v>Vigilante Noturno Desarmado - 12 horas de segunda-feira a domingo, envolvendo 2 (dois) vigilantes em turnos de 12x36hs</v>
      </c>
      <c r="C28" s="792"/>
      <c r="D28" s="398">
        <f>DADOS!J75</f>
        <v>1</v>
      </c>
      <c r="E28" s="398">
        <f>DADOS!L75</f>
        <v>2</v>
      </c>
      <c r="F28" s="399">
        <f>RESUMO!F10</f>
        <v>16095.02</v>
      </c>
      <c r="G28" s="399">
        <f>F28*D28</f>
        <v>16095.02</v>
      </c>
      <c r="H28" s="400">
        <f>G28*12</f>
        <v>193140.24</v>
      </c>
      <c r="I28" s="14"/>
      <c r="J28" s="9"/>
    </row>
    <row r="29" spans="1:13" s="8" customFormat="1" ht="25.5" customHeight="1" x14ac:dyDescent="0.2">
      <c r="A29" s="807" t="s">
        <v>62</v>
      </c>
      <c r="B29" s="807"/>
      <c r="C29" s="807"/>
      <c r="D29" s="401">
        <f>SUM(D26:D28)</f>
        <v>8</v>
      </c>
      <c r="E29" s="401">
        <f>SUM(E26:E28)</f>
        <v>15</v>
      </c>
      <c r="F29" s="402" t="s">
        <v>186</v>
      </c>
      <c r="G29" s="403">
        <f>SUM(G26:G28)</f>
        <v>109982.32</v>
      </c>
      <c r="H29" s="404">
        <f>SUM(H26:H28)</f>
        <v>1319787.8400000001</v>
      </c>
      <c r="I29" s="14"/>
      <c r="J29" s="9"/>
    </row>
    <row r="30" spans="1:13" s="8" customFormat="1" ht="6.75" customHeight="1" x14ac:dyDescent="0.2">
      <c r="A30" s="794"/>
      <c r="B30" s="795"/>
      <c r="C30" s="795"/>
      <c r="D30" s="795"/>
      <c r="E30" s="795"/>
      <c r="F30" s="795"/>
      <c r="G30" s="795"/>
      <c r="H30" s="796"/>
      <c r="I30" s="14"/>
      <c r="J30" s="9"/>
    </row>
    <row r="31" spans="1:13" s="10" customFormat="1" ht="24" customHeight="1" x14ac:dyDescent="0.2">
      <c r="A31" s="808" t="s">
        <v>170</v>
      </c>
      <c r="B31" s="809"/>
      <c r="C31" s="809"/>
      <c r="D31" s="809"/>
      <c r="E31" s="809"/>
      <c r="F31" s="809"/>
      <c r="G31" s="810"/>
      <c r="H31" s="404">
        <f>G29</f>
        <v>109982.32</v>
      </c>
    </row>
    <row r="32" spans="1:13" s="10" customFormat="1" ht="24" customHeight="1" x14ac:dyDescent="0.2">
      <c r="A32" s="793" t="e">
        <f ca="1">PassaExtenso(H31)</f>
        <v>#NAME?</v>
      </c>
      <c r="B32" s="793"/>
      <c r="C32" s="793"/>
      <c r="D32" s="793"/>
      <c r="E32" s="793"/>
      <c r="F32" s="793"/>
      <c r="G32" s="793"/>
      <c r="H32" s="793"/>
    </row>
    <row r="33" spans="1:8" s="10" customFormat="1" ht="24" customHeight="1" x14ac:dyDescent="0.2">
      <c r="A33" s="808" t="s">
        <v>206</v>
      </c>
      <c r="B33" s="809"/>
      <c r="C33" s="809"/>
      <c r="D33" s="809"/>
      <c r="E33" s="809"/>
      <c r="F33" s="809"/>
      <c r="G33" s="810"/>
      <c r="H33" s="404">
        <f>H29</f>
        <v>1319787.8400000001</v>
      </c>
    </row>
    <row r="34" spans="1:8" s="10" customFormat="1" ht="24" customHeight="1" x14ac:dyDescent="0.2">
      <c r="A34" s="793" t="e">
        <f ca="1">PassaExtenso(H33)</f>
        <v>#NAME?</v>
      </c>
      <c r="B34" s="793"/>
      <c r="C34" s="793"/>
      <c r="D34" s="793"/>
      <c r="E34" s="793"/>
      <c r="F34" s="793"/>
      <c r="G34" s="793"/>
      <c r="H34" s="793"/>
    </row>
    <row r="35" spans="1:8" s="16" customFormat="1" x14ac:dyDescent="0.2">
      <c r="A35" s="405"/>
      <c r="B35" s="406"/>
      <c r="C35" s="406"/>
      <c r="D35" s="406"/>
      <c r="E35" s="406"/>
      <c r="F35" s="406"/>
      <c r="G35" s="406"/>
      <c r="H35" s="406"/>
    </row>
    <row r="36" spans="1:8" ht="18" customHeight="1" x14ac:dyDescent="0.2">
      <c r="A36" s="389" t="s">
        <v>85</v>
      </c>
      <c r="B36" s="389"/>
      <c r="C36" s="803" t="s">
        <v>370</v>
      </c>
      <c r="D36" s="803"/>
      <c r="E36" s="803"/>
      <c r="F36" s="803"/>
      <c r="G36" s="803"/>
      <c r="H36" s="803"/>
    </row>
    <row r="37" spans="1:8" ht="18" customHeight="1" x14ac:dyDescent="0.2">
      <c r="A37" s="389"/>
      <c r="B37" s="389"/>
      <c r="C37" s="803"/>
      <c r="D37" s="803"/>
      <c r="E37" s="803"/>
      <c r="F37" s="803"/>
      <c r="G37" s="803"/>
      <c r="H37" s="803"/>
    </row>
    <row r="38" spans="1:8" ht="9.75" customHeight="1" x14ac:dyDescent="0.2">
      <c r="A38" s="408"/>
      <c r="B38" s="389"/>
      <c r="C38" s="389"/>
      <c r="D38" s="393"/>
      <c r="E38" s="393"/>
      <c r="F38" s="393"/>
      <c r="G38" s="393"/>
      <c r="H38" s="393"/>
    </row>
    <row r="39" spans="1:8" ht="18" customHeight="1" x14ac:dyDescent="0.2">
      <c r="A39" s="389"/>
      <c r="B39" s="389"/>
      <c r="C39" s="803" t="s">
        <v>371</v>
      </c>
      <c r="D39" s="803"/>
      <c r="E39" s="803"/>
      <c r="F39" s="803"/>
      <c r="G39" s="803"/>
      <c r="H39" s="803"/>
    </row>
    <row r="40" spans="1:8" ht="18" customHeight="1" x14ac:dyDescent="0.2">
      <c r="A40" s="389"/>
      <c r="B40" s="389"/>
      <c r="C40" s="803"/>
      <c r="D40" s="803"/>
      <c r="E40" s="803"/>
      <c r="F40" s="803"/>
      <c r="G40" s="803"/>
      <c r="H40" s="803"/>
    </row>
    <row r="41" spans="1:8" x14ac:dyDescent="0.2">
      <c r="A41" s="389"/>
      <c r="B41" s="389"/>
      <c r="C41" s="803"/>
      <c r="D41" s="803"/>
      <c r="E41" s="803"/>
      <c r="F41" s="803"/>
      <c r="G41" s="803"/>
      <c r="H41" s="803"/>
    </row>
    <row r="42" spans="1:8" x14ac:dyDescent="0.2">
      <c r="A42" s="389"/>
      <c r="B42" s="389"/>
      <c r="C42" s="803"/>
      <c r="D42" s="803"/>
      <c r="E42" s="803"/>
      <c r="F42" s="803"/>
      <c r="G42" s="803"/>
      <c r="H42" s="803"/>
    </row>
    <row r="43" spans="1:8" ht="9.75" customHeight="1" x14ac:dyDescent="0.2">
      <c r="A43" s="389"/>
      <c r="B43" s="389"/>
      <c r="C43" s="393"/>
      <c r="D43" s="393"/>
      <c r="E43" s="393"/>
      <c r="F43" s="393"/>
      <c r="G43" s="393"/>
      <c r="H43" s="393"/>
    </row>
    <row r="44" spans="1:8" x14ac:dyDescent="0.2">
      <c r="A44" s="389" t="s">
        <v>86</v>
      </c>
      <c r="B44" s="389"/>
      <c r="C44" s="391" t="s">
        <v>174</v>
      </c>
      <c r="D44" s="389"/>
      <c r="E44" s="389"/>
      <c r="F44" s="389"/>
      <c r="G44" s="389"/>
      <c r="H44" s="389"/>
    </row>
    <row r="45" spans="1:8" ht="9.75" customHeight="1" x14ac:dyDescent="0.2">
      <c r="A45" s="389"/>
      <c r="B45" s="389"/>
      <c r="C45" s="389"/>
      <c r="D45" s="393"/>
      <c r="E45" s="393"/>
      <c r="F45" s="393"/>
      <c r="G45" s="393"/>
      <c r="H45" s="393"/>
    </row>
    <row r="46" spans="1:8" ht="18" customHeight="1" x14ac:dyDescent="0.2">
      <c r="A46" s="389" t="s">
        <v>87</v>
      </c>
      <c r="B46" s="389"/>
      <c r="C46" s="803" t="s">
        <v>160</v>
      </c>
      <c r="D46" s="803"/>
      <c r="E46" s="803"/>
      <c r="F46" s="803"/>
      <c r="G46" s="803"/>
      <c r="H46" s="803"/>
    </row>
    <row r="47" spans="1:8" x14ac:dyDescent="0.2">
      <c r="A47" s="389"/>
      <c r="B47" s="389"/>
      <c r="C47" s="803"/>
      <c r="D47" s="803"/>
      <c r="E47" s="803"/>
      <c r="F47" s="803"/>
      <c r="G47" s="803"/>
      <c r="H47" s="803"/>
    </row>
    <row r="48" spans="1:8" x14ac:dyDescent="0.2">
      <c r="A48" s="389"/>
      <c r="B48" s="389"/>
      <c r="C48" s="803"/>
      <c r="D48" s="803"/>
      <c r="E48" s="803"/>
      <c r="F48" s="803"/>
      <c r="G48" s="803"/>
      <c r="H48" s="803"/>
    </row>
    <row r="49" spans="1:8" x14ac:dyDescent="0.2">
      <c r="A49" s="389"/>
      <c r="B49" s="389"/>
      <c r="C49" s="803"/>
      <c r="D49" s="803"/>
      <c r="E49" s="803"/>
      <c r="F49" s="803"/>
      <c r="G49" s="803"/>
      <c r="H49" s="803"/>
    </row>
    <row r="50" spans="1:8" s="11" customFormat="1" x14ac:dyDescent="0.2">
      <c r="A50" s="393"/>
      <c r="B50" s="393"/>
      <c r="C50" s="803"/>
      <c r="D50" s="803"/>
      <c r="E50" s="803"/>
      <c r="F50" s="803"/>
      <c r="G50" s="803"/>
      <c r="H50" s="803"/>
    </row>
    <row r="51" spans="1:8" s="11" customFormat="1" ht="9.75" customHeight="1" x14ac:dyDescent="0.2">
      <c r="A51" s="393"/>
      <c r="B51" s="393"/>
      <c r="C51" s="393"/>
      <c r="D51" s="393"/>
      <c r="E51" s="393"/>
      <c r="F51" s="393"/>
      <c r="G51" s="393"/>
      <c r="H51" s="393"/>
    </row>
    <row r="52" spans="1:8" s="11" customFormat="1" ht="36.75" customHeight="1" x14ac:dyDescent="0.2">
      <c r="A52" s="393"/>
      <c r="B52" s="393"/>
      <c r="C52" s="805" t="s">
        <v>233</v>
      </c>
      <c r="D52" s="805"/>
      <c r="E52" s="805"/>
      <c r="F52" s="805"/>
      <c r="G52" s="805"/>
      <c r="H52" s="805"/>
    </row>
    <row r="53" spans="1:8" s="11" customFormat="1" ht="9.75" customHeight="1" x14ac:dyDescent="0.2">
      <c r="A53" s="393"/>
      <c r="B53" s="393"/>
      <c r="C53" s="393"/>
      <c r="D53" s="393"/>
      <c r="E53" s="393"/>
      <c r="F53" s="393"/>
      <c r="G53" s="393"/>
      <c r="H53" s="393"/>
    </row>
    <row r="54" spans="1:8" x14ac:dyDescent="0.2">
      <c r="A54" s="389" t="s">
        <v>88</v>
      </c>
      <c r="B54" s="389"/>
      <c r="C54" s="389" t="s">
        <v>171</v>
      </c>
      <c r="D54" s="389"/>
      <c r="E54" s="389"/>
      <c r="F54" s="389"/>
      <c r="G54" s="389"/>
      <c r="H54" s="389"/>
    </row>
    <row r="55" spans="1:8" x14ac:dyDescent="0.2">
      <c r="A55" s="389"/>
      <c r="B55" s="389"/>
      <c r="C55" s="389" t="s">
        <v>100</v>
      </c>
      <c r="D55" s="389"/>
      <c r="E55" s="389"/>
      <c r="F55" s="389"/>
      <c r="G55" s="389"/>
      <c r="H55" s="409"/>
    </row>
    <row r="56" spans="1:8" x14ac:dyDescent="0.2">
      <c r="A56" s="389"/>
      <c r="B56" s="389"/>
      <c r="C56" s="389" t="s">
        <v>126</v>
      </c>
      <c r="D56" s="391"/>
      <c r="E56" s="391"/>
      <c r="F56" s="391"/>
      <c r="G56" s="389"/>
      <c r="H56" s="409"/>
    </row>
    <row r="57" spans="1:8" x14ac:dyDescent="0.2">
      <c r="A57" s="389"/>
      <c r="B57" s="389"/>
      <c r="C57" s="389" t="s">
        <v>128</v>
      </c>
      <c r="D57" s="389"/>
      <c r="E57" s="389"/>
      <c r="F57" s="389"/>
      <c r="G57" s="389"/>
      <c r="H57" s="409"/>
    </row>
    <row r="58" spans="1:8" x14ac:dyDescent="0.2">
      <c r="A58" s="389"/>
      <c r="B58" s="389"/>
      <c r="C58" s="389" t="s">
        <v>130</v>
      </c>
      <c r="D58" s="389"/>
      <c r="E58" s="410"/>
      <c r="F58" s="409"/>
      <c r="G58" s="389"/>
      <c r="H58" s="409"/>
    </row>
    <row r="59" spans="1:8" x14ac:dyDescent="0.2">
      <c r="A59" s="389"/>
      <c r="B59" s="389"/>
      <c r="C59" s="389" t="s">
        <v>172</v>
      </c>
      <c r="D59" s="408"/>
      <c r="E59" s="411"/>
      <c r="F59" s="411"/>
      <c r="G59" s="389"/>
      <c r="H59" s="409"/>
    </row>
    <row r="60" spans="1:8" x14ac:dyDescent="0.2">
      <c r="A60" s="389"/>
      <c r="B60" s="389"/>
      <c r="C60" s="389" t="s">
        <v>129</v>
      </c>
      <c r="D60" s="389"/>
      <c r="E60" s="411"/>
      <c r="F60" s="411"/>
      <c r="G60" s="389"/>
      <c r="H60" s="409"/>
    </row>
    <row r="61" spans="1:8" x14ac:dyDescent="0.2">
      <c r="A61" s="389"/>
      <c r="B61" s="389"/>
      <c r="C61" s="389" t="s">
        <v>173</v>
      </c>
      <c r="D61" s="389"/>
      <c r="E61" s="411"/>
      <c r="F61" s="411"/>
      <c r="G61" s="389"/>
      <c r="H61" s="409"/>
    </row>
    <row r="62" spans="1:8" ht="9.75" customHeight="1" x14ac:dyDescent="0.2">
      <c r="A62" s="389"/>
      <c r="B62" s="389"/>
      <c r="C62" s="389"/>
      <c r="D62" s="389"/>
      <c r="E62" s="411"/>
      <c r="F62" s="411"/>
      <c r="G62" s="389"/>
      <c r="H62" s="409"/>
    </row>
    <row r="63" spans="1:8" x14ac:dyDescent="0.2">
      <c r="A63" s="389" t="s">
        <v>90</v>
      </c>
      <c r="B63" s="389"/>
      <c r="C63" s="389" t="s">
        <v>374</v>
      </c>
      <c r="D63" s="389"/>
      <c r="E63" s="389"/>
      <c r="F63" s="389"/>
      <c r="G63" s="389"/>
      <c r="H63" s="389"/>
    </row>
    <row r="64" spans="1:8" x14ac:dyDescent="0.2">
      <c r="A64" s="389"/>
      <c r="B64" s="389"/>
      <c r="C64" s="389" t="s">
        <v>375</v>
      </c>
      <c r="D64" s="389"/>
      <c r="E64" s="389"/>
      <c r="F64" s="389"/>
      <c r="G64" s="389"/>
      <c r="H64" s="389"/>
    </row>
    <row r="65" spans="1:9" x14ac:dyDescent="0.2">
      <c r="A65" s="389"/>
      <c r="B65" s="389"/>
      <c r="C65" s="389" t="s">
        <v>373</v>
      </c>
      <c r="D65" s="391"/>
      <c r="E65" s="391"/>
      <c r="F65" s="389"/>
      <c r="G65" s="389"/>
      <c r="H65" s="389"/>
    </row>
    <row r="66" spans="1:9" ht="9.75" customHeight="1" x14ac:dyDescent="0.2">
      <c r="A66" s="389"/>
      <c r="B66" s="389"/>
      <c r="C66" s="411"/>
      <c r="D66" s="389"/>
      <c r="E66" s="389"/>
      <c r="F66" s="411"/>
      <c r="G66" s="389"/>
      <c r="H66" s="389"/>
    </row>
    <row r="67" spans="1:9" ht="18" customHeight="1" x14ac:dyDescent="0.2">
      <c r="A67" s="389" t="s">
        <v>91</v>
      </c>
      <c r="B67" s="389"/>
      <c r="C67" s="389" t="s">
        <v>127</v>
      </c>
      <c r="D67" s="389"/>
      <c r="E67" s="389"/>
      <c r="F67" s="389"/>
      <c r="G67" s="389"/>
      <c r="H67" s="389"/>
    </row>
    <row r="68" spans="1:9" x14ac:dyDescent="0.2">
      <c r="A68" s="389"/>
      <c r="B68" s="389"/>
      <c r="C68" s="389"/>
      <c r="D68" s="389"/>
      <c r="E68" s="389"/>
      <c r="F68" s="389"/>
      <c r="G68" s="389"/>
      <c r="H68" s="389"/>
    </row>
    <row r="69" spans="1:9" x14ac:dyDescent="0.2">
      <c r="A69" s="389"/>
      <c r="B69" s="389"/>
      <c r="C69" s="407"/>
      <c r="D69" s="407"/>
      <c r="E69" s="407"/>
      <c r="F69" s="407"/>
      <c r="G69" s="407"/>
      <c r="H69" s="407"/>
    </row>
    <row r="70" spans="1:9" x14ac:dyDescent="0.2">
      <c r="A70" s="389"/>
      <c r="B70" s="388"/>
      <c r="C70" s="412" t="s">
        <v>115</v>
      </c>
      <c r="D70" s="804">
        <f>DADOS!E4</f>
        <v>42809</v>
      </c>
      <c r="E70" s="804"/>
      <c r="F70" s="804"/>
      <c r="G70" s="407"/>
      <c r="H70" s="407"/>
    </row>
    <row r="71" spans="1:9" x14ac:dyDescent="0.2">
      <c r="A71" s="389"/>
      <c r="B71" s="389"/>
      <c r="C71" s="407"/>
      <c r="D71" s="413"/>
      <c r="E71" s="413"/>
      <c r="F71" s="407"/>
      <c r="G71" s="407"/>
      <c r="H71" s="407"/>
    </row>
    <row r="72" spans="1:9" x14ac:dyDescent="0.2">
      <c r="A72" s="389"/>
      <c r="B72" s="389"/>
      <c r="C72" s="389"/>
      <c r="D72" s="389"/>
      <c r="E72" s="389"/>
      <c r="F72" s="389"/>
      <c r="G72" s="389"/>
      <c r="H72" s="389"/>
    </row>
    <row r="73" spans="1:9" x14ac:dyDescent="0.2">
      <c r="A73" s="802" t="s">
        <v>89</v>
      </c>
      <c r="B73" s="802"/>
      <c r="C73" s="802"/>
      <c r="D73" s="802"/>
      <c r="E73" s="802"/>
      <c r="F73" s="802"/>
      <c r="G73" s="802"/>
      <c r="H73" s="802"/>
    </row>
    <row r="74" spans="1:9" x14ac:dyDescent="0.2">
      <c r="A74" s="802" t="s">
        <v>92</v>
      </c>
      <c r="B74" s="802"/>
      <c r="C74" s="802"/>
      <c r="D74" s="802"/>
      <c r="E74" s="802"/>
      <c r="F74" s="802"/>
      <c r="G74" s="802"/>
      <c r="H74" s="802"/>
      <c r="I74" s="17"/>
    </row>
    <row r="75" spans="1:9" x14ac:dyDescent="0.2">
      <c r="A75" s="802" t="s">
        <v>93</v>
      </c>
      <c r="B75" s="802"/>
      <c r="C75" s="802"/>
      <c r="D75" s="802"/>
      <c r="E75" s="802"/>
      <c r="F75" s="802"/>
      <c r="G75" s="802"/>
      <c r="H75" s="802"/>
    </row>
  </sheetData>
  <mergeCells count="22">
    <mergeCell ref="C36:H37"/>
    <mergeCell ref="C52:H52"/>
    <mergeCell ref="A32:H32"/>
    <mergeCell ref="B25:C25"/>
    <mergeCell ref="A29:C29"/>
    <mergeCell ref="A33:G33"/>
    <mergeCell ref="A31:G31"/>
    <mergeCell ref="A75:H75"/>
    <mergeCell ref="A74:H74"/>
    <mergeCell ref="A73:H73"/>
    <mergeCell ref="C46:H50"/>
    <mergeCell ref="C39:H42"/>
    <mergeCell ref="D70:F70"/>
    <mergeCell ref="A16:H20"/>
    <mergeCell ref="B26:C26"/>
    <mergeCell ref="B27:C27"/>
    <mergeCell ref="A34:H34"/>
    <mergeCell ref="A30:H30"/>
    <mergeCell ref="E24:E25"/>
    <mergeCell ref="B28:C28"/>
    <mergeCell ref="B24:C24"/>
    <mergeCell ref="A24:A25"/>
  </mergeCells>
  <printOptions horizontalCentered="1"/>
  <pageMargins left="0.51181102362204722" right="0.43307086614173229" top="1.26" bottom="0.15748031496062992" header="0.27559055118110237" footer="0.27559055118110237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>
    <tabColor theme="8" tint="0.79998168889431442"/>
  </sheetPr>
  <dimension ref="A1:Q147"/>
  <sheetViews>
    <sheetView view="pageBreakPreview" topLeftCell="B10" zoomScaleNormal="100" zoomScaleSheetLayoutView="100" workbookViewId="0">
      <pane xSplit="6" ySplit="2" topLeftCell="H126" activePane="bottomRight" state="frozen"/>
      <selection activeCell="B10" sqref="B10"/>
      <selection pane="topRight" activeCell="H10" sqref="H10"/>
      <selection pane="bottomLeft" activeCell="B12" sqref="B12"/>
      <selection pane="bottomRight" activeCell="I10" sqref="I10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4.42578125" style="22" customWidth="1"/>
    <col min="7" max="7" width="17.140625" style="23" customWidth="1"/>
    <col min="8" max="8" width="14.42578125" style="23" customWidth="1"/>
    <col min="9" max="9" width="16.85546875" style="23" customWidth="1"/>
    <col min="10" max="10" width="14.42578125" style="22" customWidth="1"/>
    <col min="11" max="11" width="16.85546875" style="23" customWidth="1"/>
    <col min="12" max="12" width="14.42578125" style="22" customWidth="1"/>
    <col min="13" max="13" width="17" style="23" customWidth="1"/>
    <col min="14" max="14" width="18.42578125" style="58" customWidth="1"/>
    <col min="15" max="15" width="13.28515625" style="58" bestFit="1" customWidth="1"/>
    <col min="16" max="16384" width="9.140625" style="58"/>
  </cols>
  <sheetData>
    <row r="1" spans="1:13" ht="11.25" customHeight="1" x14ac:dyDescent="0.2">
      <c r="A1" s="421" t="s">
        <v>89</v>
      </c>
      <c r="C1" s="19"/>
      <c r="D1" s="19"/>
      <c r="E1" s="19"/>
      <c r="F1" s="19"/>
      <c r="G1" s="20"/>
      <c r="H1" s="20"/>
      <c r="I1" s="20"/>
      <c r="J1" s="19"/>
      <c r="K1" s="20"/>
      <c r="L1" s="19"/>
      <c r="M1" s="20"/>
    </row>
    <row r="2" spans="1:13" ht="11.25" customHeight="1" x14ac:dyDescent="0.2">
      <c r="A2" s="420" t="s">
        <v>100</v>
      </c>
      <c r="B2" s="19"/>
      <c r="C2" s="19"/>
      <c r="D2" s="19"/>
      <c r="E2" s="19"/>
      <c r="F2" s="19"/>
      <c r="G2" s="20"/>
      <c r="H2" s="20"/>
      <c r="I2" s="20"/>
      <c r="J2" s="19"/>
      <c r="K2" s="20"/>
      <c r="L2" s="19"/>
      <c r="M2" s="20"/>
    </row>
    <row r="3" spans="1:13" x14ac:dyDescent="0.2">
      <c r="A3" s="21"/>
    </row>
    <row r="4" spans="1:13" s="59" customFormat="1" x14ac:dyDescent="0.2">
      <c r="A4" s="818" t="s">
        <v>359</v>
      </c>
      <c r="B4" s="818"/>
      <c r="C4" s="818"/>
      <c r="D4" s="818"/>
      <c r="E4" s="818"/>
      <c r="F4" s="818"/>
      <c r="G4" s="818"/>
      <c r="H4" s="531"/>
      <c r="I4" s="531"/>
      <c r="J4" s="115"/>
      <c r="K4" s="115"/>
      <c r="L4" s="116"/>
      <c r="M4" s="116"/>
    </row>
    <row r="5" spans="1:13" s="59" customFormat="1" ht="15.75" customHeight="1" x14ac:dyDescent="0.2">
      <c r="A5" s="818" t="str">
        <f>DADOS!A19</f>
        <v>PLANILHA DE CUSTOS E FORMAÇÃO DE PREÇOS - MME</v>
      </c>
      <c r="B5" s="818"/>
      <c r="C5" s="818"/>
      <c r="D5" s="818"/>
      <c r="E5" s="818"/>
      <c r="F5" s="818"/>
      <c r="G5" s="818"/>
      <c r="H5" s="531"/>
      <c r="I5" s="531"/>
      <c r="J5" s="115"/>
      <c r="K5" s="115"/>
      <c r="L5" s="116"/>
      <c r="M5" s="116"/>
    </row>
    <row r="6" spans="1:13" s="59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59" customFormat="1" ht="15.75" customHeight="1" x14ac:dyDescent="0.2">
      <c r="A7" s="37" t="str">
        <f>DADOS!A3&amp;  " " &amp;DADOS!C3</f>
        <v>Processo nº 48000.001766/2016-11</v>
      </c>
      <c r="B7" s="37"/>
      <c r="C7" s="72"/>
      <c r="D7" s="72"/>
      <c r="E7" s="30"/>
      <c r="F7" s="26"/>
      <c r="G7" s="27"/>
      <c r="H7" s="27"/>
      <c r="I7" s="27"/>
      <c r="J7" s="26"/>
      <c r="K7" s="27"/>
      <c r="L7" s="26"/>
      <c r="M7" s="27"/>
    </row>
    <row r="8" spans="1:13" s="59" customFormat="1" ht="15.75" customHeight="1" x14ac:dyDescent="0.2">
      <c r="A8" s="37" t="str">
        <f>DADOS!B8 &amp; " " &amp; DADOS!C8</f>
        <v>Pregão Eletrônico nº 001/2017</v>
      </c>
      <c r="B8" s="37"/>
      <c r="C8" s="71"/>
      <c r="D8" s="71"/>
      <c r="E8" s="30"/>
      <c r="F8" s="26"/>
      <c r="G8" s="27"/>
      <c r="H8" s="27"/>
      <c r="I8" s="27"/>
      <c r="J8" s="26"/>
      <c r="K8" s="27"/>
      <c r="L8" s="26"/>
      <c r="M8" s="27"/>
    </row>
    <row r="9" spans="1:13" s="59" customFormat="1" ht="15.75" customHeight="1" x14ac:dyDescent="0.2">
      <c r="A9" s="28" t="s">
        <v>301</v>
      </c>
      <c r="B9" s="53"/>
      <c r="C9" s="53"/>
      <c r="D9" s="29"/>
      <c r="E9" s="30"/>
      <c r="F9" s="31"/>
      <c r="G9" s="32"/>
      <c r="H9" s="32"/>
      <c r="I9" s="32"/>
      <c r="J9" s="31"/>
      <c r="K9" s="32"/>
      <c r="L9" s="31"/>
      <c r="M9" s="32"/>
    </row>
    <row r="10" spans="1:13" s="59" customFormat="1" ht="75.75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811" t="s">
        <v>419</v>
      </c>
      <c r="K10" s="811"/>
      <c r="L10" s="811" t="s">
        <v>427</v>
      </c>
      <c r="M10" s="811"/>
    </row>
    <row r="11" spans="1:13" s="59" customFormat="1" ht="42" customHeight="1" thickBot="1" x14ac:dyDescent="0.25">
      <c r="A11" s="821" t="s">
        <v>138</v>
      </c>
      <c r="B11" s="857"/>
      <c r="C11" s="857"/>
      <c r="D11" s="857"/>
      <c r="E11" s="823"/>
      <c r="F11" s="858" t="s">
        <v>417</v>
      </c>
      <c r="G11" s="859"/>
      <c r="H11" s="860" t="s">
        <v>415</v>
      </c>
      <c r="I11" s="861"/>
      <c r="J11" s="817" t="s">
        <v>403</v>
      </c>
      <c r="K11" s="814"/>
      <c r="L11" s="814" t="s">
        <v>404</v>
      </c>
      <c r="M11" s="814"/>
    </row>
    <row r="12" spans="1:13" s="59" customFormat="1" ht="15.75" customHeight="1" x14ac:dyDescent="0.2">
      <c r="A12" s="422" t="s">
        <v>1</v>
      </c>
      <c r="B12" s="423" t="s">
        <v>134</v>
      </c>
      <c r="C12" s="423"/>
      <c r="D12" s="424"/>
      <c r="E12" s="425"/>
      <c r="F12" s="813">
        <f>DADOS!C4</f>
        <v>42788</v>
      </c>
      <c r="G12" s="864"/>
      <c r="H12" s="862">
        <v>43158</v>
      </c>
      <c r="I12" s="863"/>
      <c r="J12" s="842">
        <v>42788</v>
      </c>
      <c r="K12" s="815"/>
      <c r="L12" s="813">
        <v>42788</v>
      </c>
      <c r="M12" s="815"/>
    </row>
    <row r="13" spans="1:13" s="59" customFormat="1" ht="15.75" customHeight="1" x14ac:dyDescent="0.2">
      <c r="A13" s="422" t="s">
        <v>2</v>
      </c>
      <c r="B13" s="424" t="s">
        <v>3</v>
      </c>
      <c r="C13" s="424"/>
      <c r="D13" s="424"/>
      <c r="E13" s="426"/>
      <c r="F13" s="813" t="str">
        <f>DADOS!C5</f>
        <v>Brasília - DF</v>
      </c>
      <c r="G13" s="864"/>
      <c r="H13" s="855" t="s">
        <v>44</v>
      </c>
      <c r="I13" s="848"/>
      <c r="J13" s="842" t="str">
        <f>DADOS!C5</f>
        <v>Brasília - DF</v>
      </c>
      <c r="K13" s="815"/>
      <c r="L13" s="813">
        <f>DADOS!E5</f>
        <v>0</v>
      </c>
      <c r="M13" s="815"/>
    </row>
    <row r="14" spans="1:13" s="59" customFormat="1" ht="15" customHeight="1" x14ac:dyDescent="0.2">
      <c r="A14" s="836" t="s">
        <v>4</v>
      </c>
      <c r="B14" s="837" t="s">
        <v>133</v>
      </c>
      <c r="C14" s="837"/>
      <c r="D14" s="837"/>
      <c r="E14" s="837"/>
      <c r="F14" s="815" t="str">
        <f>DADOS!H82</f>
        <v>SINDESV/SINDESP-DF</v>
      </c>
      <c r="G14" s="864"/>
      <c r="H14" s="847" t="s">
        <v>69</v>
      </c>
      <c r="I14" s="848"/>
      <c r="J14" s="843" t="s">
        <v>69</v>
      </c>
      <c r="K14" s="815"/>
      <c r="L14" s="815" t="s">
        <v>69</v>
      </c>
      <c r="M14" s="815"/>
    </row>
    <row r="15" spans="1:13" s="59" customFormat="1" ht="15" customHeight="1" x14ac:dyDescent="0.2">
      <c r="A15" s="836"/>
      <c r="B15" s="837"/>
      <c r="C15" s="837"/>
      <c r="D15" s="837"/>
      <c r="E15" s="837"/>
      <c r="F15" s="815" t="str">
        <f>DADOS!C11</f>
        <v>2016/2016</v>
      </c>
      <c r="G15" s="864"/>
      <c r="H15" s="847" t="s">
        <v>156</v>
      </c>
      <c r="I15" s="848"/>
      <c r="J15" s="844" t="s">
        <v>398</v>
      </c>
      <c r="K15" s="816"/>
      <c r="L15" s="816" t="s">
        <v>398</v>
      </c>
      <c r="M15" s="816"/>
    </row>
    <row r="16" spans="1:13" s="59" customFormat="1" ht="15" customHeight="1" x14ac:dyDescent="0.2">
      <c r="A16" s="422" t="s">
        <v>5</v>
      </c>
      <c r="B16" s="423" t="s">
        <v>135</v>
      </c>
      <c r="C16" s="423"/>
      <c r="D16" s="424"/>
      <c r="E16" s="426"/>
      <c r="F16" s="815">
        <f>DADOS!C13</f>
        <v>12</v>
      </c>
      <c r="G16" s="864"/>
      <c r="H16" s="847">
        <v>12</v>
      </c>
      <c r="I16" s="848"/>
      <c r="J16" s="843">
        <f>DADOS!C13</f>
        <v>12</v>
      </c>
      <c r="K16" s="815"/>
      <c r="L16" s="815">
        <f>DADOS!E13</f>
        <v>0</v>
      </c>
      <c r="M16" s="815"/>
    </row>
    <row r="17" spans="1:16" s="59" customFormat="1" ht="16.5" customHeight="1" x14ac:dyDescent="0.2">
      <c r="A17" s="820" t="s">
        <v>117</v>
      </c>
      <c r="B17" s="820"/>
      <c r="C17" s="820"/>
      <c r="D17" s="820"/>
      <c r="E17" s="820"/>
      <c r="F17" s="820"/>
      <c r="G17" s="821"/>
      <c r="H17" s="575"/>
      <c r="I17" s="576"/>
      <c r="J17" s="552"/>
      <c r="K17" s="430"/>
      <c r="L17" s="430"/>
      <c r="M17" s="430"/>
    </row>
    <row r="18" spans="1:16" s="59" customFormat="1" ht="34.5" customHeight="1" x14ac:dyDescent="0.2">
      <c r="A18" s="431">
        <v>1</v>
      </c>
      <c r="B18" s="822" t="s">
        <v>101</v>
      </c>
      <c r="C18" s="822"/>
      <c r="D18" s="822"/>
      <c r="E18" s="432" t="s">
        <v>132</v>
      </c>
      <c r="F18" s="432" t="s">
        <v>95</v>
      </c>
      <c r="G18" s="533" t="s">
        <v>137</v>
      </c>
      <c r="H18" s="577" t="s">
        <v>95</v>
      </c>
      <c r="I18" s="578" t="s">
        <v>137</v>
      </c>
      <c r="J18" s="553" t="s">
        <v>95</v>
      </c>
      <c r="K18" s="432" t="s">
        <v>137</v>
      </c>
      <c r="L18" s="432" t="s">
        <v>95</v>
      </c>
      <c r="M18" s="432" t="s">
        <v>137</v>
      </c>
    </row>
    <row r="19" spans="1:16" s="59" customFormat="1" ht="29.25" customHeight="1" x14ac:dyDescent="0.2">
      <c r="A19" s="431" t="s">
        <v>136</v>
      </c>
      <c r="B19" s="822" t="s">
        <v>310</v>
      </c>
      <c r="C19" s="822"/>
      <c r="D19" s="822"/>
      <c r="E19" s="432" t="str">
        <f>DADOS!C12</f>
        <v>Posto de Serviço</v>
      </c>
      <c r="F19" s="433">
        <f>DADOS!J73</f>
        <v>1</v>
      </c>
      <c r="G19" s="534">
        <f>DADOS!L73</f>
        <v>1</v>
      </c>
      <c r="H19" s="656">
        <v>2</v>
      </c>
      <c r="I19" s="657">
        <v>2</v>
      </c>
      <c r="J19" s="554">
        <f>DADOS!L73</f>
        <v>1</v>
      </c>
      <c r="K19" s="433">
        <f>DADOS!L73</f>
        <v>1</v>
      </c>
      <c r="L19" s="481">
        <v>2</v>
      </c>
      <c r="M19" s="481">
        <v>2</v>
      </c>
    </row>
    <row r="20" spans="1:16" s="59" customFormat="1" ht="14.25" customHeight="1" x14ac:dyDescent="0.2">
      <c r="A20" s="422"/>
      <c r="B20" s="422"/>
      <c r="C20" s="422"/>
      <c r="D20" s="422"/>
      <c r="E20" s="422"/>
      <c r="F20" s="434">
        <v>1</v>
      </c>
      <c r="G20" s="535"/>
      <c r="H20" s="579"/>
      <c r="I20" s="580"/>
      <c r="J20" s="555">
        <v>1</v>
      </c>
      <c r="K20" s="435"/>
      <c r="L20" s="434">
        <v>1</v>
      </c>
      <c r="M20" s="435"/>
    </row>
    <row r="21" spans="1:16" s="59" customFormat="1" ht="14.25" customHeight="1" x14ac:dyDescent="0.2">
      <c r="A21" s="838" t="s">
        <v>309</v>
      </c>
      <c r="B21" s="845"/>
      <c r="C21" s="845"/>
      <c r="D21" s="845"/>
      <c r="E21" s="845"/>
      <c r="F21" s="845"/>
      <c r="G21" s="845"/>
      <c r="H21" s="581"/>
      <c r="I21" s="582"/>
      <c r="J21" s="556"/>
      <c r="K21" s="479"/>
      <c r="L21" s="436"/>
      <c r="M21" s="436"/>
    </row>
    <row r="22" spans="1:16" s="59" customFormat="1" ht="14.25" customHeight="1" x14ac:dyDescent="0.2">
      <c r="A22" s="820" t="s">
        <v>118</v>
      </c>
      <c r="B22" s="820"/>
      <c r="C22" s="820"/>
      <c r="D22" s="820"/>
      <c r="E22" s="820"/>
      <c r="F22" s="820"/>
      <c r="G22" s="821"/>
      <c r="H22" s="575"/>
      <c r="I22" s="576"/>
      <c r="J22" s="532"/>
      <c r="K22" s="437"/>
      <c r="L22" s="437"/>
      <c r="M22" s="437"/>
    </row>
    <row r="23" spans="1:16" s="59" customFormat="1" ht="15" customHeight="1" x14ac:dyDescent="0.2">
      <c r="A23" s="820" t="s">
        <v>182</v>
      </c>
      <c r="B23" s="820"/>
      <c r="C23" s="820"/>
      <c r="D23" s="820"/>
      <c r="E23" s="820"/>
      <c r="F23" s="820"/>
      <c r="G23" s="821"/>
      <c r="H23" s="575"/>
      <c r="I23" s="576"/>
      <c r="J23" s="532"/>
      <c r="K23" s="437"/>
      <c r="L23" s="437"/>
      <c r="M23" s="437"/>
    </row>
    <row r="24" spans="1:16" s="59" customFormat="1" ht="33" customHeight="1" x14ac:dyDescent="0.2">
      <c r="A24" s="422">
        <v>1</v>
      </c>
      <c r="B24" s="824" t="s">
        <v>101</v>
      </c>
      <c r="C24" s="824"/>
      <c r="D24" s="824"/>
      <c r="E24" s="824"/>
      <c r="F24" s="820" t="str">
        <f>B19</f>
        <v>Supervisor Diurno Desarmado - 44 h./semana</v>
      </c>
      <c r="G24" s="821"/>
      <c r="H24" s="849" t="s">
        <v>310</v>
      </c>
      <c r="I24" s="850"/>
      <c r="J24" s="823" t="str">
        <f>B19</f>
        <v>Supervisor Diurno Desarmado - 44 h./semana</v>
      </c>
      <c r="K24" s="820"/>
      <c r="L24" s="823">
        <f>D19</f>
        <v>0</v>
      </c>
      <c r="M24" s="820"/>
    </row>
    <row r="25" spans="1:16" s="59" customFormat="1" ht="16.5" customHeight="1" x14ac:dyDescent="0.2">
      <c r="A25" s="422">
        <v>2</v>
      </c>
      <c r="B25" s="824" t="s">
        <v>102</v>
      </c>
      <c r="C25" s="824"/>
      <c r="D25" s="824"/>
      <c r="E25" s="824"/>
      <c r="F25" s="825">
        <f>DADOS!M73</f>
        <v>2264.96</v>
      </c>
      <c r="G25" s="826"/>
      <c r="H25" s="851">
        <v>2264.96</v>
      </c>
      <c r="I25" s="852"/>
      <c r="J25" s="827">
        <f>DADOS!M93</f>
        <v>2413.9899999999998</v>
      </c>
      <c r="K25" s="828"/>
      <c r="L25" s="828">
        <v>2413.9899999999998</v>
      </c>
      <c r="M25" s="828"/>
    </row>
    <row r="26" spans="1:16" s="59" customFormat="1" ht="44.25" customHeight="1" x14ac:dyDescent="0.2">
      <c r="A26" s="422">
        <v>3</v>
      </c>
      <c r="B26" s="824" t="s">
        <v>10</v>
      </c>
      <c r="C26" s="824"/>
      <c r="D26" s="824"/>
      <c r="E26" s="824"/>
      <c r="F26" s="812" t="str">
        <f>DADOS!H73</f>
        <v>Supervisor Diurno Desarmado - 44hs semanais envolvendo 1 (um) funcionário</v>
      </c>
      <c r="G26" s="829"/>
      <c r="H26" s="853" t="s">
        <v>416</v>
      </c>
      <c r="I26" s="854"/>
      <c r="J26" s="846" t="str">
        <f>DADOS!H73</f>
        <v>Supervisor Diurno Desarmado - 44hs semanais envolvendo 1 (um) funcionário</v>
      </c>
      <c r="K26" s="812"/>
      <c r="L26" s="812">
        <f>DADOS!J73</f>
        <v>1</v>
      </c>
      <c r="M26" s="812"/>
    </row>
    <row r="27" spans="1:16" s="59" customFormat="1" ht="16.5" customHeight="1" x14ac:dyDescent="0.2">
      <c r="A27" s="422">
        <v>4</v>
      </c>
      <c r="B27" s="824" t="s">
        <v>11</v>
      </c>
      <c r="C27" s="824"/>
      <c r="D27" s="824"/>
      <c r="E27" s="824"/>
      <c r="F27" s="813" t="str">
        <f>DADOS!M82</f>
        <v>1º de Janeiro</v>
      </c>
      <c r="G27" s="830"/>
      <c r="H27" s="855" t="s">
        <v>311</v>
      </c>
      <c r="I27" s="856"/>
      <c r="J27" s="842" t="str">
        <f>DADOS!M82</f>
        <v>1º de Janeiro</v>
      </c>
      <c r="K27" s="813"/>
      <c r="L27" s="813" t="str">
        <f>DADOS!M82</f>
        <v>1º de Janeiro</v>
      </c>
      <c r="M27" s="813"/>
    </row>
    <row r="28" spans="1:16" s="59" customFormat="1" x14ac:dyDescent="0.2">
      <c r="A28" s="429"/>
      <c r="B28" s="429"/>
      <c r="C28" s="429"/>
      <c r="D28" s="429"/>
      <c r="E28" s="429"/>
      <c r="F28" s="429"/>
      <c r="G28" s="480"/>
      <c r="H28" s="583"/>
      <c r="I28" s="584"/>
      <c r="J28" s="557"/>
      <c r="K28" s="422"/>
      <c r="L28" s="429"/>
      <c r="M28" s="422"/>
    </row>
    <row r="29" spans="1:16" s="60" customFormat="1" x14ac:dyDescent="0.2">
      <c r="A29" s="820" t="s">
        <v>36</v>
      </c>
      <c r="B29" s="820"/>
      <c r="C29" s="820"/>
      <c r="D29" s="820"/>
      <c r="E29" s="820"/>
      <c r="F29" s="820"/>
      <c r="G29" s="821"/>
      <c r="H29" s="575"/>
      <c r="I29" s="576"/>
      <c r="J29" s="532"/>
      <c r="K29" s="437"/>
      <c r="L29" s="437"/>
      <c r="M29" s="437"/>
    </row>
    <row r="30" spans="1:16" s="59" customFormat="1" ht="18" customHeight="1" x14ac:dyDescent="0.2">
      <c r="A30" s="436">
        <v>1</v>
      </c>
      <c r="B30" s="831" t="s">
        <v>104</v>
      </c>
      <c r="C30" s="831"/>
      <c r="D30" s="831"/>
      <c r="E30" s="831"/>
      <c r="F30" s="436" t="s">
        <v>13</v>
      </c>
      <c r="G30" s="529" t="s">
        <v>141</v>
      </c>
      <c r="H30" s="581" t="s">
        <v>13</v>
      </c>
      <c r="I30" s="585" t="s">
        <v>141</v>
      </c>
      <c r="J30" s="530" t="s">
        <v>13</v>
      </c>
      <c r="K30" s="436" t="s">
        <v>141</v>
      </c>
      <c r="L30" s="436" t="s">
        <v>13</v>
      </c>
      <c r="M30" s="436" t="s">
        <v>141</v>
      </c>
      <c r="N30" s="61"/>
      <c r="O30" s="61"/>
      <c r="P30" s="61"/>
    </row>
    <row r="31" spans="1:16" s="59" customFormat="1" x14ac:dyDescent="0.2">
      <c r="A31" s="438" t="s">
        <v>1</v>
      </c>
      <c r="B31" s="423" t="s">
        <v>181</v>
      </c>
      <c r="C31" s="423"/>
      <c r="D31" s="423"/>
      <c r="E31" s="423"/>
      <c r="F31" s="439"/>
      <c r="G31" s="536">
        <f>$F$25*F20</f>
        <v>2264.96</v>
      </c>
      <c r="H31" s="586"/>
      <c r="I31" s="587">
        <f>$H$25</f>
        <v>2264.96</v>
      </c>
      <c r="J31" s="558"/>
      <c r="K31" s="440">
        <f>$J$25*J20</f>
        <v>2413.9899999999998</v>
      </c>
      <c r="L31" s="439"/>
      <c r="M31" s="440">
        <f>$L$25*L20</f>
        <v>2413.9899999999998</v>
      </c>
      <c r="N31" s="61"/>
      <c r="O31" s="61"/>
      <c r="P31" s="61"/>
    </row>
    <row r="32" spans="1:16" s="59" customFormat="1" hidden="1" x14ac:dyDescent="0.2">
      <c r="A32" s="438" t="s">
        <v>2</v>
      </c>
      <c r="B32" s="423" t="str">
        <f>DADOS!A26</f>
        <v>Adicional Motorizado - Cláusula 3ª, alínea "f" da CCT</v>
      </c>
      <c r="C32" s="423"/>
      <c r="D32" s="423"/>
      <c r="E32" s="423"/>
      <c r="F32" s="439">
        <f>DADOS!D26</f>
        <v>0.1</v>
      </c>
      <c r="G32" s="537"/>
      <c r="H32" s="586">
        <f>DADOS!F26</f>
        <v>0</v>
      </c>
      <c r="I32" s="588"/>
      <c r="J32" s="558">
        <f>DADOS!F26</f>
        <v>0</v>
      </c>
      <c r="K32" s="441"/>
      <c r="L32" s="439">
        <f>DADOS!H26</f>
        <v>0</v>
      </c>
      <c r="M32" s="441"/>
      <c r="N32" s="62"/>
      <c r="O32" s="61"/>
      <c r="P32" s="61"/>
    </row>
    <row r="33" spans="1:16" s="59" customFormat="1" ht="31.5" customHeight="1" x14ac:dyDescent="0.2">
      <c r="A33" s="438" t="s">
        <v>2</v>
      </c>
      <c r="B33" s="819" t="str">
        <f>DADOS!A25</f>
        <v>Adicional de Periculosidade/Risco de Vida - (Lei nº 12.740/2012 e Cláusula 3ª § 4º da CCT/2016)</v>
      </c>
      <c r="C33" s="819"/>
      <c r="D33" s="819"/>
      <c r="E33" s="819"/>
      <c r="F33" s="439">
        <f>DADOS!D25</f>
        <v>0.3</v>
      </c>
      <c r="G33" s="538">
        <f>(G31+G32)*F33</f>
        <v>679.49</v>
      </c>
      <c r="H33" s="586">
        <v>0.3</v>
      </c>
      <c r="I33" s="589">
        <f>(I31+I32)*H33</f>
        <v>679.49</v>
      </c>
      <c r="J33" s="558">
        <f>DADOS!D25</f>
        <v>0.3</v>
      </c>
      <c r="K33" s="443">
        <f>(K31+K32)*J33</f>
        <v>724.2</v>
      </c>
      <c r="L33" s="439">
        <f>DADOS!D25</f>
        <v>0.3</v>
      </c>
      <c r="M33" s="443">
        <f>(M31+M32)*L33</f>
        <v>724.2</v>
      </c>
      <c r="N33" s="62"/>
      <c r="O33" s="61"/>
      <c r="P33" s="61"/>
    </row>
    <row r="34" spans="1:16" s="59" customFormat="1" x14ac:dyDescent="0.2">
      <c r="A34" s="438" t="s">
        <v>4</v>
      </c>
      <c r="B34" s="424" t="s">
        <v>312</v>
      </c>
      <c r="C34" s="424"/>
      <c r="D34" s="424"/>
      <c r="E34" s="424"/>
      <c r="F34" s="439"/>
      <c r="G34" s="538"/>
      <c r="H34" s="590"/>
      <c r="I34" s="589"/>
      <c r="J34" s="558"/>
      <c r="K34" s="443"/>
      <c r="L34" s="439"/>
      <c r="M34" s="443"/>
      <c r="N34" s="62"/>
      <c r="O34" s="61"/>
      <c r="P34" s="61"/>
    </row>
    <row r="35" spans="1:16" s="59" customFormat="1" x14ac:dyDescent="0.2">
      <c r="A35" s="438" t="s">
        <v>5</v>
      </c>
      <c r="B35" s="423" t="str">
        <f>DADOS!A24</f>
        <v>Adicional Noturno - Cláusula 49ª da CCT/2016</v>
      </c>
      <c r="C35" s="423"/>
      <c r="D35" s="423"/>
      <c r="E35" s="423"/>
      <c r="F35" s="444">
        <f>DADOS!D24</f>
        <v>0.2</v>
      </c>
      <c r="G35" s="538"/>
      <c r="H35" s="590"/>
      <c r="I35" s="589"/>
      <c r="J35" s="559">
        <f>DADOS!F24</f>
        <v>0</v>
      </c>
      <c r="K35" s="443"/>
      <c r="L35" s="444">
        <f>DADOS!H24</f>
        <v>0</v>
      </c>
      <c r="M35" s="443"/>
      <c r="N35" s="62"/>
      <c r="O35" s="61"/>
      <c r="P35" s="61"/>
    </row>
    <row r="36" spans="1:16" s="59" customFormat="1" x14ac:dyDescent="0.2">
      <c r="A36" s="438" t="s">
        <v>6</v>
      </c>
      <c r="B36" s="423" t="s">
        <v>24</v>
      </c>
      <c r="C36" s="423"/>
      <c r="D36" s="423"/>
      <c r="E36" s="423"/>
      <c r="F36" s="439"/>
      <c r="G36" s="538"/>
      <c r="H36" s="590"/>
      <c r="I36" s="589"/>
      <c r="J36" s="558"/>
      <c r="K36" s="443"/>
      <c r="L36" s="439"/>
      <c r="M36" s="443"/>
      <c r="N36" s="61"/>
      <c r="O36" s="61"/>
      <c r="P36" s="61"/>
    </row>
    <row r="37" spans="1:16" s="59" customFormat="1" x14ac:dyDescent="0.2">
      <c r="A37" s="438" t="s">
        <v>7</v>
      </c>
      <c r="B37" s="423" t="s">
        <v>105</v>
      </c>
      <c r="C37" s="423"/>
      <c r="D37" s="423"/>
      <c r="E37" s="423"/>
      <c r="F37" s="439"/>
      <c r="G37" s="538"/>
      <c r="H37" s="590"/>
      <c r="I37" s="589"/>
      <c r="J37" s="558"/>
      <c r="K37" s="443"/>
      <c r="L37" s="439"/>
      <c r="M37" s="443"/>
      <c r="N37" s="61"/>
      <c r="O37" s="61"/>
      <c r="P37" s="61"/>
    </row>
    <row r="38" spans="1:16" s="59" customFormat="1" ht="28.5" customHeight="1" x14ac:dyDescent="0.2">
      <c r="A38" s="438" t="s">
        <v>8</v>
      </c>
      <c r="B38" s="819" t="str">
        <f>DADOS!A27</f>
        <v>Intervalo Intrajornada - {[(Salário Base + Adicionais) ÷ 220] x 1,50 (hora extra acrescida de 50%) x 20,5 dias) - NÃO SE APLICA</v>
      </c>
      <c r="C38" s="819"/>
      <c r="D38" s="819"/>
      <c r="E38" s="819"/>
      <c r="F38" s="445">
        <f>DADOS!D27</f>
        <v>1.5</v>
      </c>
      <c r="G38" s="538"/>
      <c r="H38" s="590"/>
      <c r="I38" s="589"/>
      <c r="J38" s="560">
        <f>DADOS!F27</f>
        <v>0</v>
      </c>
      <c r="K38" s="443"/>
      <c r="L38" s="445">
        <f>DADOS!H27</f>
        <v>0</v>
      </c>
      <c r="M38" s="443"/>
      <c r="N38" s="61"/>
      <c r="O38" s="61"/>
      <c r="P38" s="61"/>
    </row>
    <row r="39" spans="1:16" s="59" customFormat="1" ht="48" customHeight="1" x14ac:dyDescent="0.2">
      <c r="A39" s="438" t="s">
        <v>9</v>
      </c>
      <c r="B39" s="819" t="s">
        <v>362</v>
      </c>
      <c r="C39" s="819"/>
      <c r="D39" s="819"/>
      <c r="E39" s="819"/>
      <c r="F39" s="439"/>
      <c r="G39" s="538"/>
      <c r="H39" s="590"/>
      <c r="I39" s="589"/>
      <c r="J39" s="558"/>
      <c r="K39" s="443"/>
      <c r="L39" s="439"/>
      <c r="M39" s="443"/>
      <c r="N39" s="61"/>
      <c r="O39" s="61"/>
      <c r="P39" s="61"/>
    </row>
    <row r="40" spans="1:16" s="59" customFormat="1" ht="18.75" customHeight="1" x14ac:dyDescent="0.2">
      <c r="A40" s="446"/>
      <c r="B40" s="834" t="s">
        <v>139</v>
      </c>
      <c r="C40" s="834"/>
      <c r="D40" s="834"/>
      <c r="E40" s="834"/>
      <c r="F40" s="834"/>
      <c r="G40" s="539">
        <f>SUM(G31:G39)</f>
        <v>2944.45</v>
      </c>
      <c r="H40" s="591"/>
      <c r="I40" s="592">
        <f>SUM(I31:I39)</f>
        <v>2944.45</v>
      </c>
      <c r="J40" s="561"/>
      <c r="K40" s="447">
        <f>SUM(K31:K39)</f>
        <v>3138.19</v>
      </c>
      <c r="L40" s="447"/>
      <c r="M40" s="447">
        <f>SUM(M31:M39)</f>
        <v>3138.19</v>
      </c>
      <c r="N40" s="61"/>
      <c r="O40" s="61"/>
      <c r="P40" s="61"/>
    </row>
    <row r="41" spans="1:16" s="64" customFormat="1" x14ac:dyDescent="0.2">
      <c r="A41" s="422"/>
      <c r="B41" s="424"/>
      <c r="C41" s="424"/>
      <c r="D41" s="424"/>
      <c r="E41" s="424"/>
      <c r="F41" s="448"/>
      <c r="G41" s="540"/>
      <c r="H41" s="593"/>
      <c r="I41" s="594"/>
      <c r="J41" s="562"/>
      <c r="K41" s="449"/>
      <c r="L41" s="448"/>
      <c r="M41" s="449"/>
      <c r="N41" s="63"/>
      <c r="O41" s="63"/>
      <c r="P41" s="63"/>
    </row>
    <row r="42" spans="1:16" s="59" customFormat="1" ht="15" customHeight="1" x14ac:dyDescent="0.2">
      <c r="A42" s="820" t="s">
        <v>37</v>
      </c>
      <c r="B42" s="820"/>
      <c r="C42" s="820"/>
      <c r="D42" s="820"/>
      <c r="E42" s="820"/>
      <c r="F42" s="820"/>
      <c r="G42" s="821"/>
      <c r="H42" s="575"/>
      <c r="I42" s="576"/>
      <c r="J42" s="532"/>
      <c r="K42" s="437"/>
      <c r="L42" s="437"/>
      <c r="M42" s="437"/>
      <c r="N42" s="61"/>
      <c r="O42" s="61"/>
      <c r="P42" s="61"/>
    </row>
    <row r="43" spans="1:16" s="59" customFormat="1" ht="18" customHeight="1" x14ac:dyDescent="0.2">
      <c r="A43" s="437">
        <v>2</v>
      </c>
      <c r="B43" s="835" t="s">
        <v>25</v>
      </c>
      <c r="C43" s="835"/>
      <c r="D43" s="835"/>
      <c r="E43" s="835"/>
      <c r="F43" s="436" t="s">
        <v>13</v>
      </c>
      <c r="G43" s="529" t="s">
        <v>141</v>
      </c>
      <c r="H43" s="581" t="s">
        <v>13</v>
      </c>
      <c r="I43" s="585"/>
      <c r="J43" s="530" t="s">
        <v>13</v>
      </c>
      <c r="K43" s="436" t="s">
        <v>141</v>
      </c>
      <c r="L43" s="436" t="s">
        <v>13</v>
      </c>
      <c r="M43" s="436" t="s">
        <v>141</v>
      </c>
      <c r="N43" s="61"/>
      <c r="O43" s="61"/>
      <c r="P43" s="61"/>
    </row>
    <row r="44" spans="1:16" s="59" customFormat="1" x14ac:dyDescent="0.2">
      <c r="A44" s="836" t="s">
        <v>1</v>
      </c>
      <c r="B44" s="837" t="str">
        <f>DADOS!A33</f>
        <v>Transporte [(R$ 5,00) x 2] x 20,5 dias - Cláusula 13ª da CCT/2016</v>
      </c>
      <c r="C44" s="837"/>
      <c r="D44" s="837"/>
      <c r="E44" s="837"/>
      <c r="F44" s="450">
        <f>DADOS!F33</f>
        <v>10</v>
      </c>
      <c r="G44" s="541">
        <f>(F44*DADOS!L24*$F$20)</f>
        <v>205</v>
      </c>
      <c r="H44" s="595"/>
      <c r="I44" s="596">
        <f>5*2*20.5</f>
        <v>205</v>
      </c>
      <c r="J44" s="563">
        <f>DADOS!H33</f>
        <v>0</v>
      </c>
      <c r="K44" s="451">
        <f>(F44*DADOS!L24*$F$20)</f>
        <v>205</v>
      </c>
      <c r="L44" s="450">
        <f>DADOS!J33</f>
        <v>0</v>
      </c>
      <c r="M44" s="451">
        <f>(F44*DADOS!L24*$F$20)</f>
        <v>205</v>
      </c>
      <c r="N44" s="61"/>
      <c r="O44" s="61"/>
      <c r="P44" s="61"/>
    </row>
    <row r="45" spans="1:16" s="59" customFormat="1" x14ac:dyDescent="0.2">
      <c r="A45" s="836"/>
      <c r="B45" s="837" t="s">
        <v>106</v>
      </c>
      <c r="C45" s="837"/>
      <c r="D45" s="837"/>
      <c r="E45" s="837"/>
      <c r="F45" s="452">
        <f>DADOS!F35</f>
        <v>0.06</v>
      </c>
      <c r="G45" s="542">
        <f>-MIN(G44,(F45*G31))</f>
        <v>-135.9</v>
      </c>
      <c r="H45" s="597">
        <v>0.06</v>
      </c>
      <c r="I45" s="598">
        <f>-MIN(I44,(H45*I31))</f>
        <v>-135.9</v>
      </c>
      <c r="J45" s="564">
        <f>DADOS!F35</f>
        <v>0.06</v>
      </c>
      <c r="K45" s="453">
        <f>-MIN(K44,(J45*K31))</f>
        <v>-144.84</v>
      </c>
      <c r="L45" s="452">
        <f>DADOS!F35</f>
        <v>0.06</v>
      </c>
      <c r="M45" s="453">
        <f>-MIN(M44,(L45*M31))</f>
        <v>-144.84</v>
      </c>
      <c r="N45" s="61"/>
      <c r="O45" s="61"/>
      <c r="P45" s="61"/>
    </row>
    <row r="46" spans="1:16" s="59" customFormat="1" ht="29.25" customHeight="1" x14ac:dyDescent="0.2">
      <c r="A46" s="422" t="s">
        <v>2</v>
      </c>
      <c r="B46" s="819" t="str">
        <f>DADOS!A37</f>
        <v xml:space="preserve">Auxílio alimentação (Tiquete refeição de R$ 32,00 x 20,5 dias efetivamente trabalhados) - Cláusula 12ª da CCT/2016 </v>
      </c>
      <c r="C46" s="819"/>
      <c r="D46" s="819"/>
      <c r="E46" s="819"/>
      <c r="F46" s="450">
        <f>DADOS!F37</f>
        <v>32</v>
      </c>
      <c r="G46" s="541">
        <f>(F46*DADOS!L24)*$F$20</f>
        <v>656</v>
      </c>
      <c r="H46" s="595"/>
      <c r="I46" s="596">
        <f>32*20.5</f>
        <v>656</v>
      </c>
      <c r="J46" s="563">
        <f>DADOS!H37</f>
        <v>0</v>
      </c>
      <c r="K46" s="454">
        <f>34.11*20.5</f>
        <v>699.26</v>
      </c>
      <c r="L46" s="450">
        <f>DADOS!J37</f>
        <v>0</v>
      </c>
      <c r="M46" s="454">
        <f>34.11*20.5</f>
        <v>699.26</v>
      </c>
      <c r="N46" s="61"/>
      <c r="O46" s="61"/>
      <c r="P46" s="61"/>
    </row>
    <row r="47" spans="1:16" s="59" customFormat="1" ht="28.5" customHeight="1" x14ac:dyDescent="0.2">
      <c r="A47" s="422" t="s">
        <v>4</v>
      </c>
      <c r="B47" s="833" t="str">
        <f>DADOS!A46</f>
        <v>Auxílio Saúde - Cláusula 14ª da CCT/2016 - NÃO SE APLICA CONFORME PARECER Nº 15/2014/CPLC/ DEPCONSU/PGF/AGU</v>
      </c>
      <c r="C47" s="833"/>
      <c r="D47" s="833"/>
      <c r="E47" s="833"/>
      <c r="F47" s="450">
        <f>DADOS!F46</f>
        <v>0</v>
      </c>
      <c r="G47" s="542">
        <f t="shared" ref="G47:G52" si="0">F47*$F$20</f>
        <v>0</v>
      </c>
      <c r="H47" s="595"/>
      <c r="I47" s="598">
        <f>H47*$F$20</f>
        <v>0</v>
      </c>
      <c r="J47" s="563">
        <f>DADOS!H46</f>
        <v>0</v>
      </c>
      <c r="K47" s="620"/>
      <c r="L47" s="450">
        <f>DADOS!J46</f>
        <v>0</v>
      </c>
      <c r="M47" s="453">
        <f>L47*$F$20</f>
        <v>0</v>
      </c>
      <c r="N47" s="61"/>
      <c r="O47" s="61"/>
      <c r="P47" s="61"/>
    </row>
    <row r="48" spans="1:16" s="59" customFormat="1" ht="45.75" customHeight="1" x14ac:dyDescent="0.2">
      <c r="A48" s="422" t="s">
        <v>5</v>
      </c>
      <c r="B48" s="833" t="str">
        <f>DADOS!A44</f>
        <v>Fundo Social e Odontológico - Cláusula 18ª da CCT/2016 - NÃO SE APLICA CONFORME PARECER Nº 15/2014/CPLC/ DEPCONSU/PGF/AGU, por entender que integra ao Auxílio Saúde</v>
      </c>
      <c r="C48" s="833"/>
      <c r="D48" s="833"/>
      <c r="E48" s="833"/>
      <c r="F48" s="450">
        <f>DADOS!F44</f>
        <v>0</v>
      </c>
      <c r="G48" s="542">
        <f t="shared" si="0"/>
        <v>0</v>
      </c>
      <c r="H48" s="595"/>
      <c r="I48" s="598">
        <f>H48*$F$20</f>
        <v>0</v>
      </c>
      <c r="J48" s="563">
        <f>DADOS!H44</f>
        <v>0</v>
      </c>
      <c r="K48" s="453">
        <f>J48*$F$20</f>
        <v>0</v>
      </c>
      <c r="L48" s="450">
        <f>DADOS!J44</f>
        <v>0</v>
      </c>
      <c r="M48" s="453">
        <f>L48*$F$20</f>
        <v>0</v>
      </c>
      <c r="N48" s="61"/>
      <c r="O48" s="61"/>
      <c r="P48" s="61"/>
    </row>
    <row r="49" spans="1:16" s="59" customFormat="1" x14ac:dyDescent="0.2">
      <c r="A49" s="422" t="s">
        <v>6</v>
      </c>
      <c r="B49" s="841" t="str">
        <f>DADOS!A39</f>
        <v>Fundo Ind. Aposent. Ou Doença - Cláusula 15ª da CCT/2016</v>
      </c>
      <c r="C49" s="841"/>
      <c r="D49" s="841"/>
      <c r="E49" s="841"/>
      <c r="F49" s="450">
        <f>DADOS!F39</f>
        <v>14</v>
      </c>
      <c r="G49" s="542">
        <f t="shared" si="0"/>
        <v>14</v>
      </c>
      <c r="H49" s="595"/>
      <c r="I49" s="598">
        <v>14</v>
      </c>
      <c r="J49" s="563">
        <f>DADOS!H39</f>
        <v>0</v>
      </c>
      <c r="K49" s="453">
        <f>F49*$F$20</f>
        <v>14</v>
      </c>
      <c r="L49" s="450">
        <f>DADOS!J39</f>
        <v>0</v>
      </c>
      <c r="M49" s="453">
        <f>F49*$F$20</f>
        <v>14</v>
      </c>
      <c r="N49" s="61"/>
      <c r="O49" s="61"/>
      <c r="P49" s="61"/>
    </row>
    <row r="50" spans="1:16" s="59" customFormat="1" x14ac:dyDescent="0.2">
      <c r="A50" s="422" t="s">
        <v>7</v>
      </c>
      <c r="B50" s="841" t="str">
        <f>DADOS!A40</f>
        <v>Seguro de vida, inclusive invalidez - Cláusula 16ª da CCT/2016</v>
      </c>
      <c r="C50" s="841"/>
      <c r="D50" s="841"/>
      <c r="E50" s="841"/>
      <c r="F50" s="450">
        <f>DADOS!L41</f>
        <v>12.22</v>
      </c>
      <c r="G50" s="542">
        <f t="shared" si="0"/>
        <v>12.22</v>
      </c>
      <c r="H50" s="595"/>
      <c r="I50" s="598">
        <v>12.22</v>
      </c>
      <c r="J50" s="563">
        <f>DADOS!N41</f>
        <v>0</v>
      </c>
      <c r="K50" s="453">
        <f>F50*$F$20</f>
        <v>12.22</v>
      </c>
      <c r="L50" s="450">
        <f>DADOS!P41</f>
        <v>0</v>
      </c>
      <c r="M50" s="453">
        <f>F50*$F$20</f>
        <v>12.22</v>
      </c>
      <c r="N50" s="61"/>
      <c r="O50" s="61"/>
      <c r="P50" s="61"/>
    </row>
    <row r="51" spans="1:16" s="59" customFormat="1" ht="30" customHeight="1" x14ac:dyDescent="0.2">
      <c r="A51" s="422" t="s">
        <v>8</v>
      </c>
      <c r="B51" s="833" t="str">
        <f>DADOS!A41</f>
        <v>Auxílio Funeral (Despesas de sepultamento - R$ 3.560,00 - Cláusula 16ª alínea "d" da CCT/2016</v>
      </c>
      <c r="C51" s="833"/>
      <c r="D51" s="833"/>
      <c r="E51" s="833"/>
      <c r="F51" s="450">
        <f>DADOS!F41</f>
        <v>1.8</v>
      </c>
      <c r="G51" s="542">
        <f t="shared" si="0"/>
        <v>1.8</v>
      </c>
      <c r="H51" s="595"/>
      <c r="I51" s="598">
        <v>1.8</v>
      </c>
      <c r="J51" s="563">
        <f>DADOS!H41</f>
        <v>0</v>
      </c>
      <c r="K51" s="453">
        <f>F51*$F$20</f>
        <v>1.8</v>
      </c>
      <c r="L51" s="450">
        <f>DADOS!J41</f>
        <v>0</v>
      </c>
      <c r="M51" s="453">
        <f>F51*$F$20</f>
        <v>1.8</v>
      </c>
      <c r="N51" s="61"/>
      <c r="O51" s="61"/>
      <c r="P51" s="61"/>
    </row>
    <row r="52" spans="1:16" s="59" customFormat="1" x14ac:dyDescent="0.2">
      <c r="A52" s="422" t="s">
        <v>9</v>
      </c>
      <c r="B52" s="455" t="str">
        <f>DADOS!A42</f>
        <v>Treinamento/Capacitação/Reciclagem - Cláusula 28ª da CCT/2016</v>
      </c>
      <c r="C52" s="455"/>
      <c r="D52" s="426"/>
      <c r="E52" s="429"/>
      <c r="F52" s="450">
        <f>DADOS!F42</f>
        <v>12.08</v>
      </c>
      <c r="G52" s="542">
        <f t="shared" si="0"/>
        <v>12.08</v>
      </c>
      <c r="H52" s="595"/>
      <c r="I52" s="598">
        <v>12.08</v>
      </c>
      <c r="J52" s="563">
        <f>DADOS!H42</f>
        <v>0</v>
      </c>
      <c r="K52" s="453">
        <f>F52*$F$20</f>
        <v>12.08</v>
      </c>
      <c r="L52" s="450">
        <f>DADOS!J42</f>
        <v>0</v>
      </c>
      <c r="M52" s="453">
        <f>F52*$F$20</f>
        <v>12.08</v>
      </c>
      <c r="N52" s="61"/>
      <c r="O52" s="61"/>
      <c r="P52" s="61"/>
    </row>
    <row r="53" spans="1:16" s="59" customFormat="1" x14ac:dyDescent="0.2">
      <c r="A53" s="422" t="s">
        <v>145</v>
      </c>
      <c r="B53" s="455" t="s">
        <v>81</v>
      </c>
      <c r="C53" s="455"/>
      <c r="D53" s="426"/>
      <c r="E53" s="429"/>
      <c r="F53" s="448"/>
      <c r="G53" s="540"/>
      <c r="H53" s="599"/>
      <c r="I53" s="594"/>
      <c r="J53" s="562"/>
      <c r="K53" s="449"/>
      <c r="L53" s="448"/>
      <c r="M53" s="449"/>
      <c r="N53" s="61"/>
      <c r="O53" s="61"/>
      <c r="P53" s="61"/>
    </row>
    <row r="54" spans="1:16" s="59" customFormat="1" ht="18" customHeight="1" x14ac:dyDescent="0.2">
      <c r="A54" s="446"/>
      <c r="B54" s="834" t="s">
        <v>140</v>
      </c>
      <c r="C54" s="834"/>
      <c r="D54" s="834"/>
      <c r="E54" s="834"/>
      <c r="F54" s="834"/>
      <c r="G54" s="543">
        <f>SUM(G44:G53)</f>
        <v>765.2</v>
      </c>
      <c r="H54" s="600"/>
      <c r="I54" s="601">
        <f>SUM(I44:I53)</f>
        <v>765.2</v>
      </c>
      <c r="J54" s="565"/>
      <c r="K54" s="456">
        <f>SUM(K44:K53)</f>
        <v>799.52</v>
      </c>
      <c r="L54" s="456"/>
      <c r="M54" s="456">
        <f>SUM(M44:M53)</f>
        <v>799.52</v>
      </c>
      <c r="N54" s="61"/>
      <c r="O54" s="61"/>
      <c r="P54" s="61"/>
    </row>
    <row r="55" spans="1:16" s="64" customFormat="1" x14ac:dyDescent="0.2">
      <c r="A55" s="422"/>
      <c r="B55" s="429"/>
      <c r="C55" s="429"/>
      <c r="D55" s="429"/>
      <c r="E55" s="429"/>
      <c r="F55" s="448"/>
      <c r="G55" s="540"/>
      <c r="H55" s="593"/>
      <c r="I55" s="594"/>
      <c r="J55" s="562"/>
      <c r="K55" s="449"/>
      <c r="L55" s="448"/>
      <c r="M55" s="449"/>
      <c r="N55" s="63"/>
      <c r="O55" s="63"/>
      <c r="P55" s="63"/>
    </row>
    <row r="56" spans="1:16" s="59" customFormat="1" x14ac:dyDescent="0.2">
      <c r="A56" s="820" t="s">
        <v>38</v>
      </c>
      <c r="B56" s="820"/>
      <c r="C56" s="820"/>
      <c r="D56" s="820"/>
      <c r="E56" s="820"/>
      <c r="F56" s="820"/>
      <c r="G56" s="821"/>
      <c r="H56" s="575"/>
      <c r="I56" s="576"/>
      <c r="J56" s="532"/>
      <c r="K56" s="437"/>
      <c r="L56" s="437"/>
      <c r="M56" s="437"/>
      <c r="N56" s="61"/>
      <c r="O56" s="61"/>
      <c r="P56" s="61"/>
    </row>
    <row r="57" spans="1:16" s="59" customFormat="1" ht="18" customHeight="1" x14ac:dyDescent="0.2">
      <c r="A57" s="436">
        <v>3</v>
      </c>
      <c r="B57" s="832" t="s">
        <v>107</v>
      </c>
      <c r="C57" s="832"/>
      <c r="D57" s="832"/>
      <c r="E57" s="832"/>
      <c r="F57" s="436" t="s">
        <v>13</v>
      </c>
      <c r="G57" s="529" t="s">
        <v>141</v>
      </c>
      <c r="H57" s="581"/>
      <c r="I57" s="585"/>
      <c r="J57" s="530" t="s">
        <v>13</v>
      </c>
      <c r="K57" s="436" t="s">
        <v>141</v>
      </c>
      <c r="L57" s="436" t="s">
        <v>13</v>
      </c>
      <c r="M57" s="436" t="s">
        <v>141</v>
      </c>
      <c r="N57" s="61"/>
      <c r="O57" s="61"/>
      <c r="P57" s="61"/>
    </row>
    <row r="58" spans="1:16" s="59" customFormat="1" ht="15.75" customHeight="1" x14ac:dyDescent="0.2">
      <c r="A58" s="438" t="s">
        <v>1</v>
      </c>
      <c r="B58" s="457" t="str">
        <f>DADOS!A53</f>
        <v>Uniformes</v>
      </c>
      <c r="C58" s="457"/>
      <c r="D58" s="457"/>
      <c r="E58" s="457"/>
      <c r="F58" s="439"/>
      <c r="G58" s="541">
        <f>DADOS!F53*$F$20</f>
        <v>240.13</v>
      </c>
      <c r="H58" s="602"/>
      <c r="I58" s="596">
        <f>UNIFORMES!G37</f>
        <v>240.13</v>
      </c>
      <c r="J58" s="558"/>
      <c r="K58" s="451">
        <f>DADOS!F53*$F$20</f>
        <v>240.13</v>
      </c>
      <c r="L58" s="439"/>
      <c r="M58" s="451">
        <f>UNIFORMES!G22</f>
        <v>240.13</v>
      </c>
      <c r="N58" s="61"/>
      <c r="O58" s="61"/>
      <c r="P58" s="61"/>
    </row>
    <row r="59" spans="1:16" s="59" customFormat="1" ht="15.75" customHeight="1" x14ac:dyDescent="0.2">
      <c r="A59" s="438" t="s">
        <v>2</v>
      </c>
      <c r="B59" s="457" t="str">
        <f>DADOS!A54</f>
        <v>Materiais de Consumo Mensal</v>
      </c>
      <c r="C59" s="457"/>
      <c r="D59" s="457"/>
      <c r="E59" s="457"/>
      <c r="F59" s="439"/>
      <c r="G59" s="541">
        <f>DADOS!F54*$F$20</f>
        <v>8.5299999999999994</v>
      </c>
      <c r="H59" s="602"/>
      <c r="I59" s="596">
        <f>'MAT e EQUIPS'!H19</f>
        <v>8.5299999999999994</v>
      </c>
      <c r="J59" s="558"/>
      <c r="K59" s="451">
        <f>DADOS!F54*$F$20</f>
        <v>8.5299999999999994</v>
      </c>
      <c r="L59" s="439"/>
      <c r="M59" s="454">
        <f>'MAT e EQUIPS'!H45</f>
        <v>7.99</v>
      </c>
      <c r="N59" s="61"/>
      <c r="O59" s="61"/>
      <c r="P59" s="61"/>
    </row>
    <row r="60" spans="1:16" s="59" customFormat="1" ht="15.75" customHeight="1" x14ac:dyDescent="0.2">
      <c r="A60" s="438" t="s">
        <v>4</v>
      </c>
      <c r="B60" s="423" t="str">
        <f>DADOS!A55</f>
        <v>Equipamentos para desenvolvimento das atividades</v>
      </c>
      <c r="C60" s="457"/>
      <c r="D60" s="457"/>
      <c r="E60" s="457"/>
      <c r="F60" s="439"/>
      <c r="G60" s="541">
        <f>DADOS!F55*$F$20</f>
        <v>27.13</v>
      </c>
      <c r="H60" s="602"/>
      <c r="I60" s="596">
        <f>'MAT e EQUIPS'!H30</f>
        <v>27.13</v>
      </c>
      <c r="J60" s="558"/>
      <c r="K60" s="451">
        <f>DADOS!F55*$F$20</f>
        <v>27.13</v>
      </c>
      <c r="L60" s="439"/>
      <c r="M60" s="454">
        <f>'MAT e EQUIPS'!H56</f>
        <v>25.43</v>
      </c>
      <c r="N60" s="61"/>
      <c r="O60" s="61"/>
      <c r="P60" s="61"/>
    </row>
    <row r="61" spans="1:16" s="59" customFormat="1" ht="18" customHeight="1" x14ac:dyDescent="0.2">
      <c r="A61" s="446"/>
      <c r="B61" s="834" t="s">
        <v>142</v>
      </c>
      <c r="C61" s="834"/>
      <c r="D61" s="834"/>
      <c r="E61" s="834"/>
      <c r="F61" s="834"/>
      <c r="G61" s="544">
        <f>SUM(G58:G60)</f>
        <v>275.79000000000002</v>
      </c>
      <c r="H61" s="603"/>
      <c r="I61" s="604">
        <f>SUM(I58:I60)</f>
        <v>275.79000000000002</v>
      </c>
      <c r="J61" s="566"/>
      <c r="K61" s="458">
        <f>SUM(K58:K60)</f>
        <v>275.79000000000002</v>
      </c>
      <c r="L61" s="458"/>
      <c r="M61" s="458">
        <f>SUM(M58:M60)</f>
        <v>273.55</v>
      </c>
      <c r="N61" s="61"/>
      <c r="O61" s="61"/>
      <c r="P61" s="61"/>
    </row>
    <row r="62" spans="1:16" s="64" customFormat="1" x14ac:dyDescent="0.2">
      <c r="A62" s="422"/>
      <c r="B62" s="429"/>
      <c r="C62" s="429"/>
      <c r="D62" s="429"/>
      <c r="E62" s="429"/>
      <c r="F62" s="448"/>
      <c r="G62" s="540"/>
      <c r="H62" s="593"/>
      <c r="I62" s="594"/>
      <c r="J62" s="562"/>
      <c r="K62" s="449"/>
      <c r="L62" s="448"/>
      <c r="M62" s="449"/>
      <c r="N62" s="63"/>
      <c r="O62" s="63"/>
      <c r="P62" s="63"/>
    </row>
    <row r="63" spans="1:16" s="26" customFormat="1" x14ac:dyDescent="0.2">
      <c r="A63" s="832" t="s">
        <v>39</v>
      </c>
      <c r="B63" s="832"/>
      <c r="C63" s="832"/>
      <c r="D63" s="832"/>
      <c r="E63" s="832"/>
      <c r="F63" s="832"/>
      <c r="G63" s="838"/>
      <c r="H63" s="581"/>
      <c r="I63" s="585"/>
      <c r="J63" s="530"/>
      <c r="K63" s="436"/>
      <c r="L63" s="436"/>
      <c r="M63" s="436"/>
      <c r="N63" s="65"/>
      <c r="O63" s="65"/>
      <c r="P63" s="65"/>
    </row>
    <row r="64" spans="1:16" s="26" customFormat="1" x14ac:dyDescent="0.2">
      <c r="A64" s="831" t="s">
        <v>124</v>
      </c>
      <c r="B64" s="831"/>
      <c r="C64" s="831"/>
      <c r="D64" s="831"/>
      <c r="E64" s="831"/>
      <c r="F64" s="831"/>
      <c r="G64" s="839"/>
      <c r="H64" s="605"/>
      <c r="I64" s="606"/>
      <c r="J64" s="567"/>
      <c r="K64" s="459"/>
      <c r="L64" s="459"/>
      <c r="M64" s="459"/>
      <c r="N64" s="65"/>
      <c r="O64" s="65"/>
      <c r="P64" s="65"/>
    </row>
    <row r="65" spans="1:16" s="67" customFormat="1" ht="18" customHeight="1" x14ac:dyDescent="0.2">
      <c r="A65" s="437" t="s">
        <v>63</v>
      </c>
      <c r="B65" s="835" t="s">
        <v>122</v>
      </c>
      <c r="C65" s="835"/>
      <c r="D65" s="835"/>
      <c r="E65" s="835"/>
      <c r="F65" s="437" t="s">
        <v>12</v>
      </c>
      <c r="G65" s="545" t="s">
        <v>103</v>
      </c>
      <c r="H65" s="575"/>
      <c r="I65" s="576"/>
      <c r="J65" s="532" t="s">
        <v>12</v>
      </c>
      <c r="K65" s="437" t="s">
        <v>103</v>
      </c>
      <c r="L65" s="437" t="s">
        <v>12</v>
      </c>
      <c r="M65" s="437" t="s">
        <v>103</v>
      </c>
      <c r="N65" s="66"/>
      <c r="O65" s="66"/>
      <c r="P65" s="66"/>
    </row>
    <row r="66" spans="1:16" s="59" customFormat="1" ht="14.25" customHeight="1" x14ac:dyDescent="0.2">
      <c r="A66" s="422" t="s">
        <v>1</v>
      </c>
      <c r="B66" s="460" t="str">
        <f>DADOS!B81</f>
        <v>INSS</v>
      </c>
      <c r="C66" s="460"/>
      <c r="D66" s="429"/>
      <c r="E66" s="429"/>
      <c r="F66" s="461">
        <f>DADOS!C81</f>
        <v>0.2</v>
      </c>
      <c r="G66" s="540">
        <f>F66*$G$40</f>
        <v>588.89</v>
      </c>
      <c r="H66" s="607">
        <v>0.2</v>
      </c>
      <c r="I66" s="594">
        <f>H66*$G$40</f>
        <v>588.89</v>
      </c>
      <c r="J66" s="568">
        <f>DADOS!C81</f>
        <v>0.2</v>
      </c>
      <c r="K66" s="449">
        <f>F66*$K$40</f>
        <v>627.64</v>
      </c>
      <c r="L66" s="461">
        <f>DADOS!C81</f>
        <v>0.2</v>
      </c>
      <c r="M66" s="449">
        <f>J66*$M$40</f>
        <v>627.64</v>
      </c>
      <c r="N66" s="61"/>
      <c r="O66" s="61"/>
      <c r="P66" s="61"/>
    </row>
    <row r="67" spans="1:16" s="59" customFormat="1" ht="14.25" customHeight="1" x14ac:dyDescent="0.2">
      <c r="A67" s="422" t="s">
        <v>2</v>
      </c>
      <c r="B67" s="460" t="str">
        <f>DADOS!B82</f>
        <v>SESI ou SESC</v>
      </c>
      <c r="C67" s="460"/>
      <c r="D67" s="429"/>
      <c r="E67" s="429"/>
      <c r="F67" s="461">
        <f>DADOS!C82</f>
        <v>1.4999999999999999E-2</v>
      </c>
      <c r="G67" s="540">
        <f t="shared" ref="G67:I73" si="1">F67*$G$40</f>
        <v>44.17</v>
      </c>
      <c r="H67" s="607">
        <v>1.4999999999999999E-2</v>
      </c>
      <c r="I67" s="594">
        <f t="shared" si="1"/>
        <v>44.17</v>
      </c>
      <c r="J67" s="568">
        <f>DADOS!C82</f>
        <v>1.4999999999999999E-2</v>
      </c>
      <c r="K67" s="449">
        <f t="shared" ref="K67:K73" si="2">F67*$K$40</f>
        <v>47.07</v>
      </c>
      <c r="L67" s="461">
        <f>DADOS!C82</f>
        <v>1.4999999999999999E-2</v>
      </c>
      <c r="M67" s="449">
        <f t="shared" ref="M67:M73" si="3">J67*$M$40</f>
        <v>47.07</v>
      </c>
      <c r="N67" s="61"/>
      <c r="O67" s="61"/>
      <c r="P67" s="61"/>
    </row>
    <row r="68" spans="1:16" s="59" customFormat="1" ht="14.25" customHeight="1" x14ac:dyDescent="0.2">
      <c r="A68" s="422" t="s">
        <v>4</v>
      </c>
      <c r="B68" s="460" t="str">
        <f>DADOS!B83</f>
        <v>SENAI ou SENAC</v>
      </c>
      <c r="C68" s="460"/>
      <c r="D68" s="429"/>
      <c r="E68" s="429"/>
      <c r="F68" s="461">
        <f>DADOS!C83</f>
        <v>0.01</v>
      </c>
      <c r="G68" s="540">
        <f t="shared" si="1"/>
        <v>29.44</v>
      </c>
      <c r="H68" s="607">
        <v>0.01</v>
      </c>
      <c r="I68" s="594">
        <f t="shared" si="1"/>
        <v>29.44</v>
      </c>
      <c r="J68" s="568">
        <f>DADOS!C83</f>
        <v>0.01</v>
      </c>
      <c r="K68" s="449">
        <f t="shared" si="2"/>
        <v>31.38</v>
      </c>
      <c r="L68" s="461">
        <f>DADOS!C83</f>
        <v>0.01</v>
      </c>
      <c r="M68" s="449">
        <f t="shared" si="3"/>
        <v>31.38</v>
      </c>
      <c r="N68" s="61"/>
      <c r="O68" s="61"/>
      <c r="P68" s="61"/>
    </row>
    <row r="69" spans="1:16" s="59" customFormat="1" ht="14.25" customHeight="1" x14ac:dyDescent="0.2">
      <c r="A69" s="422" t="s">
        <v>5</v>
      </c>
      <c r="B69" s="460" t="str">
        <f>DADOS!B84</f>
        <v>INCRA</v>
      </c>
      <c r="C69" s="460"/>
      <c r="D69" s="429"/>
      <c r="E69" s="429"/>
      <c r="F69" s="461">
        <f>DADOS!C84</f>
        <v>2E-3</v>
      </c>
      <c r="G69" s="540">
        <f t="shared" si="1"/>
        <v>5.89</v>
      </c>
      <c r="H69" s="607">
        <v>2E-3</v>
      </c>
      <c r="I69" s="594">
        <f t="shared" si="1"/>
        <v>5.89</v>
      </c>
      <c r="J69" s="568">
        <f>DADOS!C84</f>
        <v>2E-3</v>
      </c>
      <c r="K69" s="449">
        <f t="shared" si="2"/>
        <v>6.28</v>
      </c>
      <c r="L69" s="461">
        <f>DADOS!C84</f>
        <v>2E-3</v>
      </c>
      <c r="M69" s="449">
        <f t="shared" si="3"/>
        <v>6.28</v>
      </c>
      <c r="N69" s="61"/>
      <c r="O69" s="61"/>
      <c r="P69" s="61"/>
    </row>
    <row r="70" spans="1:16" s="59" customFormat="1" ht="14.25" customHeight="1" x14ac:dyDescent="0.2">
      <c r="A70" s="422" t="s">
        <v>6</v>
      </c>
      <c r="B70" s="460" t="str">
        <f>DADOS!B85</f>
        <v xml:space="preserve">Salário Educação </v>
      </c>
      <c r="C70" s="460"/>
      <c r="D70" s="429"/>
      <c r="E70" s="429"/>
      <c r="F70" s="461">
        <f>DADOS!C85</f>
        <v>2.5000000000000001E-2</v>
      </c>
      <c r="G70" s="540">
        <f t="shared" si="1"/>
        <v>73.61</v>
      </c>
      <c r="H70" s="607">
        <v>2.5000000000000001E-2</v>
      </c>
      <c r="I70" s="594">
        <f t="shared" si="1"/>
        <v>73.61</v>
      </c>
      <c r="J70" s="568">
        <f>DADOS!C85</f>
        <v>2.5000000000000001E-2</v>
      </c>
      <c r="K70" s="449">
        <f t="shared" si="2"/>
        <v>78.45</v>
      </c>
      <c r="L70" s="461">
        <f>DADOS!C85</f>
        <v>2.5000000000000001E-2</v>
      </c>
      <c r="M70" s="449">
        <f t="shared" si="3"/>
        <v>78.45</v>
      </c>
      <c r="N70" s="61"/>
      <c r="O70" s="61"/>
      <c r="P70" s="61"/>
    </row>
    <row r="71" spans="1:16" s="59" customFormat="1" ht="14.25" customHeight="1" x14ac:dyDescent="0.2">
      <c r="A71" s="422" t="s">
        <v>7</v>
      </c>
      <c r="B71" s="460" t="str">
        <f>DADOS!B86</f>
        <v>FGTS</v>
      </c>
      <c r="C71" s="460"/>
      <c r="D71" s="429"/>
      <c r="E71" s="429"/>
      <c r="F71" s="461">
        <f>DADOS!C86</f>
        <v>0.08</v>
      </c>
      <c r="G71" s="540">
        <f t="shared" si="1"/>
        <v>235.56</v>
      </c>
      <c r="H71" s="607">
        <v>0.08</v>
      </c>
      <c r="I71" s="594">
        <f t="shared" si="1"/>
        <v>235.56</v>
      </c>
      <c r="J71" s="568">
        <f>DADOS!C86</f>
        <v>0.08</v>
      </c>
      <c r="K71" s="449">
        <f t="shared" si="2"/>
        <v>251.06</v>
      </c>
      <c r="L71" s="461">
        <f>DADOS!C86</f>
        <v>0.08</v>
      </c>
      <c r="M71" s="449">
        <f t="shared" si="3"/>
        <v>251.06</v>
      </c>
      <c r="N71" s="61"/>
      <c r="O71" s="61"/>
      <c r="P71" s="61"/>
    </row>
    <row r="72" spans="1:16" s="59" customFormat="1" ht="14.25" customHeight="1" x14ac:dyDescent="0.2">
      <c r="A72" s="422" t="s">
        <v>8</v>
      </c>
      <c r="B72" s="460" t="str">
        <f>DADOS!B87</f>
        <v>Seguro Acidente do Trabalho - RAT x FAP</v>
      </c>
      <c r="C72" s="460"/>
      <c r="D72" s="429"/>
      <c r="E72" s="429"/>
      <c r="F72" s="461">
        <f>DADOS!C87</f>
        <v>2.1299999999999999E-2</v>
      </c>
      <c r="G72" s="540">
        <f t="shared" si="1"/>
        <v>62.72</v>
      </c>
      <c r="H72" s="607">
        <v>2.1299999999999999E-2</v>
      </c>
      <c r="I72" s="594">
        <f t="shared" si="1"/>
        <v>62.72</v>
      </c>
      <c r="J72" s="568">
        <f>DADOS!C87</f>
        <v>2.1299999999999999E-2</v>
      </c>
      <c r="K72" s="449">
        <f t="shared" si="2"/>
        <v>66.84</v>
      </c>
      <c r="L72" s="461">
        <f>DADOS!C87</f>
        <v>2.1299999999999999E-2</v>
      </c>
      <c r="M72" s="449">
        <f t="shared" si="3"/>
        <v>66.84</v>
      </c>
      <c r="N72" s="61"/>
      <c r="O72" s="61"/>
      <c r="P72" s="61"/>
    </row>
    <row r="73" spans="1:16" s="59" customFormat="1" ht="14.25" customHeight="1" x14ac:dyDescent="0.2">
      <c r="A73" s="422" t="s">
        <v>9</v>
      </c>
      <c r="B73" s="460" t="str">
        <f>DADOS!B88</f>
        <v>SEBRAE</v>
      </c>
      <c r="C73" s="460"/>
      <c r="D73" s="429"/>
      <c r="E73" s="429"/>
      <c r="F73" s="461">
        <f>DADOS!C88</f>
        <v>6.0000000000000001E-3</v>
      </c>
      <c r="G73" s="540">
        <f t="shared" si="1"/>
        <v>17.670000000000002</v>
      </c>
      <c r="H73" s="607">
        <v>6.0000000000000001E-3</v>
      </c>
      <c r="I73" s="594">
        <f t="shared" si="1"/>
        <v>17.670000000000002</v>
      </c>
      <c r="J73" s="568">
        <f>DADOS!C88</f>
        <v>6.0000000000000001E-3</v>
      </c>
      <c r="K73" s="449">
        <f t="shared" si="2"/>
        <v>18.829999999999998</v>
      </c>
      <c r="L73" s="461">
        <f>DADOS!C88</f>
        <v>6.0000000000000001E-3</v>
      </c>
      <c r="M73" s="449">
        <f t="shared" si="3"/>
        <v>18.829999999999998</v>
      </c>
      <c r="N73" s="61"/>
      <c r="O73" s="61"/>
      <c r="P73" s="61"/>
    </row>
    <row r="74" spans="1:16" s="64" customFormat="1" ht="18" customHeight="1" x14ac:dyDescent="0.2">
      <c r="A74" s="840" t="s">
        <v>62</v>
      </c>
      <c r="B74" s="840"/>
      <c r="C74" s="840"/>
      <c r="D74" s="840"/>
      <c r="E74" s="840"/>
      <c r="F74" s="462">
        <f t="shared" ref="F74:M74" si="4">SUM(F66:F73)</f>
        <v>0.35930000000000001</v>
      </c>
      <c r="G74" s="544">
        <f t="shared" si="4"/>
        <v>1057.95</v>
      </c>
      <c r="H74" s="603"/>
      <c r="I74" s="604">
        <f>SUM(I66:I73)</f>
        <v>1057.95</v>
      </c>
      <c r="J74" s="569">
        <f t="shared" si="4"/>
        <v>0.35930000000000001</v>
      </c>
      <c r="K74" s="458">
        <f t="shared" si="4"/>
        <v>1127.55</v>
      </c>
      <c r="L74" s="462">
        <f>SUM(L66:L73)</f>
        <v>0.35930000000000001</v>
      </c>
      <c r="M74" s="458">
        <f t="shared" si="4"/>
        <v>1127.55</v>
      </c>
      <c r="N74" s="22"/>
      <c r="O74" s="22"/>
      <c r="P74" s="22"/>
    </row>
    <row r="75" spans="1:16" s="26" customFormat="1" ht="18" customHeight="1" x14ac:dyDescent="0.2">
      <c r="A75" s="463"/>
      <c r="B75" s="463"/>
      <c r="C75" s="463"/>
      <c r="D75" s="463"/>
      <c r="E75" s="463"/>
      <c r="F75" s="448"/>
      <c r="G75" s="542"/>
      <c r="H75" s="608"/>
      <c r="I75" s="598"/>
      <c r="J75" s="562"/>
      <c r="K75" s="453"/>
      <c r="L75" s="448"/>
      <c r="M75" s="453"/>
      <c r="N75" s="38"/>
      <c r="O75" s="38"/>
      <c r="P75" s="38"/>
    </row>
    <row r="76" spans="1:16" s="59" customFormat="1" x14ac:dyDescent="0.2">
      <c r="A76" s="831" t="s">
        <v>119</v>
      </c>
      <c r="B76" s="831"/>
      <c r="C76" s="831"/>
      <c r="D76" s="831"/>
      <c r="E76" s="831"/>
      <c r="F76" s="831"/>
      <c r="G76" s="839"/>
      <c r="H76" s="605"/>
      <c r="I76" s="606"/>
      <c r="J76" s="567"/>
      <c r="K76" s="459"/>
      <c r="L76" s="459"/>
      <c r="M76" s="459"/>
      <c r="N76" s="68"/>
      <c r="O76" s="69"/>
      <c r="P76" s="69"/>
    </row>
    <row r="77" spans="1:16" s="67" customFormat="1" ht="18" customHeight="1" x14ac:dyDescent="0.2">
      <c r="A77" s="437" t="s">
        <v>70</v>
      </c>
      <c r="B77" s="835" t="s">
        <v>121</v>
      </c>
      <c r="C77" s="835"/>
      <c r="D77" s="835"/>
      <c r="E77" s="835"/>
      <c r="F77" s="437" t="s">
        <v>12</v>
      </c>
      <c r="G77" s="545" t="s">
        <v>103</v>
      </c>
      <c r="H77" s="575"/>
      <c r="I77" s="576"/>
      <c r="J77" s="532" t="s">
        <v>12</v>
      </c>
      <c r="K77" s="437" t="s">
        <v>103</v>
      </c>
      <c r="L77" s="437" t="s">
        <v>12</v>
      </c>
      <c r="M77" s="437" t="s">
        <v>103</v>
      </c>
      <c r="N77" s="66"/>
      <c r="O77" s="66"/>
      <c r="P77" s="66"/>
    </row>
    <row r="78" spans="1:16" s="59" customFormat="1" ht="14.25" customHeight="1" x14ac:dyDescent="0.2">
      <c r="A78" s="422" t="s">
        <v>1</v>
      </c>
      <c r="B78" s="460" t="str">
        <f>DADOS!B91</f>
        <v xml:space="preserve">13º (décimo terceiro) Salário </v>
      </c>
      <c r="C78" s="460"/>
      <c r="D78" s="429"/>
      <c r="E78" s="429"/>
      <c r="F78" s="461">
        <f>DADOS!C91</f>
        <v>8.3299999999999999E-2</v>
      </c>
      <c r="G78" s="540">
        <f>F78*$G$40</f>
        <v>245.27</v>
      </c>
      <c r="H78" s="607">
        <v>8.3299999999999999E-2</v>
      </c>
      <c r="I78" s="594">
        <f>H78*$G$40</f>
        <v>245.27</v>
      </c>
      <c r="J78" s="568">
        <f>DADOS!C91</f>
        <v>8.3299999999999999E-2</v>
      </c>
      <c r="K78" s="449">
        <f>J78*$K$40</f>
        <v>261.41000000000003</v>
      </c>
      <c r="L78" s="461">
        <f>DADOS!C91</f>
        <v>8.3299999999999999E-2</v>
      </c>
      <c r="M78" s="449">
        <f>L78*$M$40</f>
        <v>261.41000000000003</v>
      </c>
      <c r="N78" s="61"/>
      <c r="O78" s="61"/>
      <c r="P78" s="61"/>
    </row>
    <row r="79" spans="1:16" s="59" customFormat="1" ht="14.25" customHeight="1" x14ac:dyDescent="0.2">
      <c r="A79" s="422" t="s">
        <v>2</v>
      </c>
      <c r="B79" s="460" t="str">
        <f>DADOS!B92</f>
        <v>Adicional de férias</v>
      </c>
      <c r="C79" s="460"/>
      <c r="D79" s="429"/>
      <c r="E79" s="429"/>
      <c r="F79" s="461">
        <f>DADOS!C92</f>
        <v>2.7799999999999998E-2</v>
      </c>
      <c r="G79" s="540">
        <f>F79*$G$40</f>
        <v>81.86</v>
      </c>
      <c r="H79" s="607">
        <v>2.7799999999999998E-2</v>
      </c>
      <c r="I79" s="594">
        <f>H79*$G$40</f>
        <v>81.86</v>
      </c>
      <c r="J79" s="568">
        <f>DADOS!C92</f>
        <v>2.7799999999999998E-2</v>
      </c>
      <c r="K79" s="449">
        <f>J79*$K$40</f>
        <v>87.24</v>
      </c>
      <c r="L79" s="461">
        <f>DADOS!C92</f>
        <v>2.7799999999999998E-2</v>
      </c>
      <c r="M79" s="449">
        <f>L79*$M$40</f>
        <v>87.24</v>
      </c>
      <c r="N79" s="61"/>
      <c r="O79" s="61"/>
      <c r="P79" s="61"/>
    </row>
    <row r="80" spans="1:16" s="59" customFormat="1" ht="14.25" customHeight="1" x14ac:dyDescent="0.2">
      <c r="A80" s="840" t="s">
        <v>108</v>
      </c>
      <c r="B80" s="840"/>
      <c r="C80" s="840"/>
      <c r="D80" s="840"/>
      <c r="E80" s="840"/>
      <c r="F80" s="462">
        <f t="shared" ref="F80:L80" si="5">SUM(F78:F79)</f>
        <v>0.1111</v>
      </c>
      <c r="G80" s="543">
        <f t="shared" si="5"/>
        <v>327.13</v>
      </c>
      <c r="H80" s="609">
        <f>SUM(H78:H79)</f>
        <v>0.1111</v>
      </c>
      <c r="I80" s="601">
        <f>SUM(I78:I79)</f>
        <v>327.13</v>
      </c>
      <c r="J80" s="569">
        <f t="shared" si="5"/>
        <v>0.1111</v>
      </c>
      <c r="K80" s="456">
        <f t="shared" si="5"/>
        <v>348.65</v>
      </c>
      <c r="L80" s="462">
        <f t="shared" si="5"/>
        <v>0.1111</v>
      </c>
      <c r="M80" s="456">
        <f>SUM(M78:M79)</f>
        <v>348.65</v>
      </c>
      <c r="N80" s="69"/>
      <c r="O80" s="69"/>
      <c r="P80" s="69"/>
    </row>
    <row r="81" spans="1:16" s="59" customFormat="1" ht="28.5" customHeight="1" x14ac:dyDescent="0.2">
      <c r="A81" s="422" t="s">
        <v>2</v>
      </c>
      <c r="B81" s="819" t="str">
        <f>DADOS!B94</f>
        <v xml:space="preserve">Incidência dos encargos previstos no Submódulo 4.1 sobre 13° (décimo terceiro) salário </v>
      </c>
      <c r="C81" s="819"/>
      <c r="D81" s="819"/>
      <c r="E81" s="819"/>
      <c r="F81" s="461">
        <f>F74*F80</f>
        <v>3.9899999999999998E-2</v>
      </c>
      <c r="G81" s="540">
        <f>F81*$G$40</f>
        <v>117.48</v>
      </c>
      <c r="H81" s="607">
        <v>3.9899999999999998E-2</v>
      </c>
      <c r="I81" s="594">
        <f>H81*$G$40</f>
        <v>117.48</v>
      </c>
      <c r="J81" s="568">
        <f>J74*J80</f>
        <v>3.9899999999999998E-2</v>
      </c>
      <c r="K81" s="449">
        <f>J81*$K$40</f>
        <v>125.21</v>
      </c>
      <c r="L81" s="461">
        <f>L74*L80</f>
        <v>3.9899999999999998E-2</v>
      </c>
      <c r="M81" s="449">
        <f>L81*$M$40</f>
        <v>125.21</v>
      </c>
      <c r="N81" s="69"/>
      <c r="O81" s="69"/>
      <c r="P81" s="69"/>
    </row>
    <row r="82" spans="1:16" s="64" customFormat="1" ht="18" customHeight="1" x14ac:dyDescent="0.2">
      <c r="A82" s="840" t="s">
        <v>62</v>
      </c>
      <c r="B82" s="840"/>
      <c r="C82" s="840"/>
      <c r="D82" s="840"/>
      <c r="E82" s="840"/>
      <c r="F82" s="462">
        <f t="shared" ref="F82:M82" si="6">SUM(F80:F81)</f>
        <v>0.151</v>
      </c>
      <c r="G82" s="544">
        <f t="shared" si="6"/>
        <v>444.61</v>
      </c>
      <c r="H82" s="609">
        <f>SUM(H80:H81)</f>
        <v>0.151</v>
      </c>
      <c r="I82" s="604">
        <f>SUM(I80:I81)</f>
        <v>444.61</v>
      </c>
      <c r="J82" s="569">
        <f t="shared" si="6"/>
        <v>0.151</v>
      </c>
      <c r="K82" s="458">
        <f t="shared" si="6"/>
        <v>473.86</v>
      </c>
      <c r="L82" s="462">
        <f t="shared" si="6"/>
        <v>0.151</v>
      </c>
      <c r="M82" s="458">
        <f t="shared" si="6"/>
        <v>473.86</v>
      </c>
      <c r="N82" s="22"/>
      <c r="O82" s="22"/>
      <c r="P82" s="22"/>
    </row>
    <row r="83" spans="1:16" s="64" customFormat="1" x14ac:dyDescent="0.2">
      <c r="A83" s="464"/>
      <c r="B83" s="464"/>
      <c r="C83" s="464"/>
      <c r="D83" s="464"/>
      <c r="E83" s="464"/>
      <c r="F83" s="448"/>
      <c r="G83" s="542"/>
      <c r="H83" s="608"/>
      <c r="I83" s="598"/>
      <c r="J83" s="562"/>
      <c r="K83" s="453"/>
      <c r="L83" s="448"/>
      <c r="M83" s="453"/>
      <c r="N83" s="22"/>
      <c r="O83" s="22"/>
      <c r="P83" s="22"/>
    </row>
    <row r="84" spans="1:16" s="59" customFormat="1" x14ac:dyDescent="0.2">
      <c r="A84" s="831" t="s">
        <v>109</v>
      </c>
      <c r="B84" s="831"/>
      <c r="C84" s="831"/>
      <c r="D84" s="831"/>
      <c r="E84" s="831"/>
      <c r="F84" s="831"/>
      <c r="G84" s="839"/>
      <c r="H84" s="605"/>
      <c r="I84" s="606"/>
      <c r="J84" s="567"/>
      <c r="K84" s="459"/>
      <c r="L84" s="459"/>
      <c r="M84" s="459"/>
      <c r="N84" s="69"/>
      <c r="O84" s="69"/>
      <c r="P84" s="69"/>
    </row>
    <row r="85" spans="1:16" s="59" customFormat="1" ht="18" customHeight="1" x14ac:dyDescent="0.2">
      <c r="A85" s="437" t="s">
        <v>63</v>
      </c>
      <c r="B85" s="835" t="s">
        <v>26</v>
      </c>
      <c r="C85" s="835"/>
      <c r="D85" s="835"/>
      <c r="E85" s="835"/>
      <c r="F85" s="437" t="s">
        <v>12</v>
      </c>
      <c r="G85" s="545" t="s">
        <v>103</v>
      </c>
      <c r="H85" s="575"/>
      <c r="I85" s="576"/>
      <c r="J85" s="532" t="s">
        <v>12</v>
      </c>
      <c r="K85" s="437" t="s">
        <v>103</v>
      </c>
      <c r="L85" s="437" t="s">
        <v>12</v>
      </c>
      <c r="M85" s="437" t="s">
        <v>103</v>
      </c>
      <c r="N85" s="69"/>
      <c r="O85" s="69"/>
      <c r="P85" s="69"/>
    </row>
    <row r="86" spans="1:16" s="59" customFormat="1" ht="14.25" customHeight="1" x14ac:dyDescent="0.2">
      <c r="A86" s="422" t="s">
        <v>1</v>
      </c>
      <c r="B86" s="460" t="str">
        <f>DADOS!B97</f>
        <v>Afastamento Maternidade</v>
      </c>
      <c r="C86" s="460"/>
      <c r="D86" s="429"/>
      <c r="E86" s="429"/>
      <c r="F86" s="461">
        <f>DADOS!C97</f>
        <v>0</v>
      </c>
      <c r="G86" s="540">
        <f>F86*$G$40</f>
        <v>0</v>
      </c>
      <c r="H86" s="607">
        <f>DADOS!E97</f>
        <v>0</v>
      </c>
      <c r="I86" s="594">
        <f>H86*$G$40</f>
        <v>0</v>
      </c>
      <c r="J86" s="568">
        <f>DADOS!E97</f>
        <v>0</v>
      </c>
      <c r="K86" s="449">
        <f>J86*$K$40</f>
        <v>0</v>
      </c>
      <c r="L86" s="461">
        <f>DADOS!G97</f>
        <v>0</v>
      </c>
      <c r="M86" s="449">
        <f>L86*$K$40</f>
        <v>0</v>
      </c>
      <c r="N86" s="69"/>
      <c r="O86" s="69"/>
      <c r="P86" s="69"/>
    </row>
    <row r="87" spans="1:16" s="59" customFormat="1" ht="14.25" customHeight="1" x14ac:dyDescent="0.2">
      <c r="A87" s="422" t="s">
        <v>2</v>
      </c>
      <c r="B87" s="460" t="str">
        <f>DADOS!B98</f>
        <v>Incidência dos encargos do Submódulo 4.1 sobre o afastamento maternidade</v>
      </c>
      <c r="C87" s="460"/>
      <c r="D87" s="429"/>
      <c r="E87" s="429"/>
      <c r="F87" s="461">
        <f>DADOS!C98</f>
        <v>0</v>
      </c>
      <c r="G87" s="540">
        <f>F87*$G$40</f>
        <v>0</v>
      </c>
      <c r="H87" s="607">
        <f>DADOS!E98</f>
        <v>0</v>
      </c>
      <c r="I87" s="594">
        <f>H87*$G$40</f>
        <v>0</v>
      </c>
      <c r="J87" s="568">
        <f>DADOS!E98</f>
        <v>0</v>
      </c>
      <c r="K87" s="449">
        <f>J87*$K$40</f>
        <v>0</v>
      </c>
      <c r="L87" s="461">
        <f>DADOS!G98</f>
        <v>0</v>
      </c>
      <c r="M87" s="449">
        <f>L87*$K$40</f>
        <v>0</v>
      </c>
      <c r="N87" s="69"/>
      <c r="O87" s="69"/>
      <c r="P87" s="69"/>
    </row>
    <row r="88" spans="1:16" s="64" customFormat="1" ht="18" customHeight="1" x14ac:dyDescent="0.2">
      <c r="A88" s="840" t="s">
        <v>62</v>
      </c>
      <c r="B88" s="840"/>
      <c r="C88" s="840"/>
      <c r="D88" s="840"/>
      <c r="E88" s="840"/>
      <c r="F88" s="462">
        <f t="shared" ref="F88:M88" si="7">SUM(F86:F87)</f>
        <v>0</v>
      </c>
      <c r="G88" s="544">
        <f t="shared" si="7"/>
        <v>0</v>
      </c>
      <c r="H88" s="609">
        <f>SUM(H86:H87)</f>
        <v>0</v>
      </c>
      <c r="I88" s="604">
        <f>SUM(I86:I87)</f>
        <v>0</v>
      </c>
      <c r="J88" s="569">
        <f t="shared" si="7"/>
        <v>0</v>
      </c>
      <c r="K88" s="458">
        <f t="shared" si="7"/>
        <v>0</v>
      </c>
      <c r="L88" s="462">
        <f t="shared" si="7"/>
        <v>0</v>
      </c>
      <c r="M88" s="458">
        <f t="shared" si="7"/>
        <v>0</v>
      </c>
      <c r="N88" s="22"/>
      <c r="O88" s="22"/>
      <c r="P88" s="22"/>
    </row>
    <row r="89" spans="1:16" s="64" customFormat="1" ht="18" customHeight="1" x14ac:dyDescent="0.2">
      <c r="A89" s="464"/>
      <c r="B89" s="464"/>
      <c r="C89" s="464"/>
      <c r="D89" s="464"/>
      <c r="E89" s="464"/>
      <c r="F89" s="448"/>
      <c r="G89" s="542"/>
      <c r="H89" s="608"/>
      <c r="I89" s="598"/>
      <c r="J89" s="562"/>
      <c r="K89" s="453"/>
      <c r="L89" s="448"/>
      <c r="M89" s="453"/>
      <c r="N89" s="22"/>
      <c r="O89" s="22"/>
      <c r="P89" s="22"/>
    </row>
    <row r="90" spans="1:16" s="59" customFormat="1" x14ac:dyDescent="0.2">
      <c r="A90" s="831" t="s">
        <v>110</v>
      </c>
      <c r="B90" s="831"/>
      <c r="C90" s="831"/>
      <c r="D90" s="831"/>
      <c r="E90" s="831"/>
      <c r="F90" s="831"/>
      <c r="G90" s="839"/>
      <c r="H90" s="605"/>
      <c r="I90" s="606"/>
      <c r="J90" s="567"/>
      <c r="K90" s="459"/>
      <c r="L90" s="459"/>
      <c r="M90" s="459"/>
      <c r="N90" s="69"/>
      <c r="O90" s="69"/>
      <c r="P90" s="69"/>
    </row>
    <row r="91" spans="1:16" s="59" customFormat="1" ht="18" customHeight="1" x14ac:dyDescent="0.2">
      <c r="A91" s="437" t="s">
        <v>74</v>
      </c>
      <c r="B91" s="835" t="s">
        <v>111</v>
      </c>
      <c r="C91" s="835"/>
      <c r="D91" s="835"/>
      <c r="E91" s="835"/>
      <c r="F91" s="437" t="s">
        <v>12</v>
      </c>
      <c r="G91" s="545" t="s">
        <v>103</v>
      </c>
      <c r="H91" s="575"/>
      <c r="I91" s="576"/>
      <c r="J91" s="532" t="s">
        <v>12</v>
      </c>
      <c r="K91" s="437" t="s">
        <v>103</v>
      </c>
      <c r="L91" s="437" t="s">
        <v>12</v>
      </c>
      <c r="M91" s="437" t="s">
        <v>103</v>
      </c>
      <c r="N91" s="69"/>
      <c r="O91" s="69"/>
      <c r="P91" s="69"/>
    </row>
    <row r="92" spans="1:16" s="59" customFormat="1" ht="14.25" customHeight="1" x14ac:dyDescent="0.2">
      <c r="A92" s="422" t="s">
        <v>1</v>
      </c>
      <c r="B92" s="460" t="str">
        <f>DADOS!B101</f>
        <v>Aviso Prévio Indenizado </v>
      </c>
      <c r="C92" s="460"/>
      <c r="D92" s="429"/>
      <c r="E92" s="429"/>
      <c r="F92" s="461">
        <f>DADOS!C101</f>
        <v>4.1999999999999997E-3</v>
      </c>
      <c r="G92" s="540">
        <f t="shared" ref="G92:G97" si="8">F92*$G$40</f>
        <v>12.37</v>
      </c>
      <c r="H92" s="610">
        <v>4.0000000000000002E-4</v>
      </c>
      <c r="I92" s="594">
        <f t="shared" ref="I92:I97" si="9">H92*$G$40</f>
        <v>1.18</v>
      </c>
      <c r="J92" s="568">
        <f>DADOS!C101</f>
        <v>4.1999999999999997E-3</v>
      </c>
      <c r="K92" s="449">
        <f t="shared" ref="K92:K97" si="10">J92*$K$40</f>
        <v>13.18</v>
      </c>
      <c r="L92" s="621">
        <v>4.0000000000000002E-4</v>
      </c>
      <c r="M92" s="449">
        <f t="shared" ref="M92:M97" si="11">L92*$M$40</f>
        <v>1.26</v>
      </c>
      <c r="N92" s="69"/>
      <c r="O92" s="69"/>
      <c r="P92" s="69"/>
    </row>
    <row r="93" spans="1:16" s="59" customFormat="1" ht="14.25" customHeight="1" x14ac:dyDescent="0.2">
      <c r="A93" s="422" t="s">
        <v>2</v>
      </c>
      <c r="B93" s="460" t="str">
        <f>DADOS!B102</f>
        <v>Incidência dos encargos do submódulo 4.1 sobre aviso prévio indenizado</v>
      </c>
      <c r="C93" s="460"/>
      <c r="D93" s="429"/>
      <c r="E93" s="429"/>
      <c r="F93" s="461">
        <f>DADOS!C102</f>
        <v>1.5E-3</v>
      </c>
      <c r="G93" s="540">
        <f t="shared" si="8"/>
        <v>4.42</v>
      </c>
      <c r="H93" s="610">
        <v>1E-4</v>
      </c>
      <c r="I93" s="594">
        <f t="shared" si="9"/>
        <v>0.28999999999999998</v>
      </c>
      <c r="J93" s="568">
        <f>DADOS!C102</f>
        <v>1.5E-3</v>
      </c>
      <c r="K93" s="449">
        <f t="shared" si="10"/>
        <v>4.71</v>
      </c>
      <c r="L93" s="621">
        <v>1E-4</v>
      </c>
      <c r="M93" s="449">
        <f t="shared" si="11"/>
        <v>0.31</v>
      </c>
      <c r="N93" s="69"/>
      <c r="O93" s="69"/>
      <c r="P93" s="69"/>
    </row>
    <row r="94" spans="1:16" s="59" customFormat="1" ht="14.25" customHeight="1" x14ac:dyDescent="0.2">
      <c r="A94" s="422" t="s">
        <v>4</v>
      </c>
      <c r="B94" s="460" t="str">
        <f>DADOS!B103</f>
        <v xml:space="preserve">Multa do FGTS e contribuições sociais sobre o aviso prévio indenizado </v>
      </c>
      <c r="C94" s="460"/>
      <c r="D94" s="429"/>
      <c r="E94" s="429"/>
      <c r="F94" s="461">
        <f>DADOS!C103</f>
        <v>4.3499999999999997E-2</v>
      </c>
      <c r="G94" s="540">
        <f t="shared" si="8"/>
        <v>128.08000000000001</v>
      </c>
      <c r="H94" s="607">
        <v>4.3499999999999997E-2</v>
      </c>
      <c r="I94" s="594">
        <f t="shared" si="9"/>
        <v>128.08000000000001</v>
      </c>
      <c r="J94" s="568">
        <f>DADOS!C103</f>
        <v>4.3499999999999997E-2</v>
      </c>
      <c r="K94" s="449">
        <f t="shared" si="10"/>
        <v>136.51</v>
      </c>
      <c r="L94" s="461">
        <v>4.3499999999999997E-2</v>
      </c>
      <c r="M94" s="449">
        <f t="shared" si="11"/>
        <v>136.51</v>
      </c>
      <c r="N94" s="69"/>
      <c r="O94" s="69"/>
      <c r="P94" s="69"/>
    </row>
    <row r="95" spans="1:16" s="59" customFormat="1" ht="14.25" customHeight="1" x14ac:dyDescent="0.2">
      <c r="A95" s="422" t="s">
        <v>5</v>
      </c>
      <c r="B95" s="460" t="str">
        <f>DADOS!B104</f>
        <v>Aviso Prévio trabalhado</v>
      </c>
      <c r="C95" s="460"/>
      <c r="D95" s="429"/>
      <c r="E95" s="429"/>
      <c r="F95" s="461">
        <f>DADOS!C104</f>
        <v>1.9400000000000001E-2</v>
      </c>
      <c r="G95" s="540">
        <f t="shared" si="8"/>
        <v>57.12</v>
      </c>
      <c r="H95" s="610">
        <v>0</v>
      </c>
      <c r="I95" s="594">
        <f t="shared" si="9"/>
        <v>0</v>
      </c>
      <c r="J95" s="568">
        <f>DADOS!C104</f>
        <v>1.9400000000000001E-2</v>
      </c>
      <c r="K95" s="449">
        <f t="shared" si="10"/>
        <v>60.88</v>
      </c>
      <c r="L95" s="621">
        <v>0</v>
      </c>
      <c r="M95" s="449">
        <f t="shared" si="11"/>
        <v>0</v>
      </c>
      <c r="N95" s="69"/>
      <c r="O95" s="69"/>
      <c r="P95" s="69"/>
    </row>
    <row r="96" spans="1:16" s="59" customFormat="1" ht="14.25" customHeight="1" x14ac:dyDescent="0.2">
      <c r="A96" s="422" t="s">
        <v>6</v>
      </c>
      <c r="B96" s="460" t="str">
        <f>DADOS!B105</f>
        <v>Incidência dos encargos do submódulo 4.1 sobre aviso prévio trabalhado</v>
      </c>
      <c r="C96" s="460"/>
      <c r="D96" s="429"/>
      <c r="E96" s="429"/>
      <c r="F96" s="461">
        <f>DADOS!C105</f>
        <v>7.0000000000000001E-3</v>
      </c>
      <c r="G96" s="540">
        <f t="shared" si="8"/>
        <v>20.61</v>
      </c>
      <c r="H96" s="610">
        <v>0</v>
      </c>
      <c r="I96" s="594">
        <f t="shared" si="9"/>
        <v>0</v>
      </c>
      <c r="J96" s="568">
        <f>DADOS!C105</f>
        <v>7.0000000000000001E-3</v>
      </c>
      <c r="K96" s="449">
        <f t="shared" si="10"/>
        <v>21.97</v>
      </c>
      <c r="L96" s="621">
        <v>0</v>
      </c>
      <c r="M96" s="449">
        <f t="shared" si="11"/>
        <v>0</v>
      </c>
      <c r="N96" s="61"/>
      <c r="O96" s="61"/>
      <c r="P96" s="61"/>
    </row>
    <row r="97" spans="1:16" s="59" customFormat="1" ht="14.25" customHeight="1" x14ac:dyDescent="0.2">
      <c r="A97" s="422" t="s">
        <v>7</v>
      </c>
      <c r="B97" s="460" t="str">
        <f>DADOS!B106</f>
        <v>Multa do FGTS e contribuições sociais sobre o aviso prévio trabalhado</v>
      </c>
      <c r="C97" s="460"/>
      <c r="D97" s="429"/>
      <c r="E97" s="429"/>
      <c r="F97" s="461">
        <f>DADOS!C106</f>
        <v>6.4999999999999997E-3</v>
      </c>
      <c r="G97" s="540">
        <f t="shared" si="8"/>
        <v>19.14</v>
      </c>
      <c r="H97" s="607">
        <v>6.4999999999999997E-3</v>
      </c>
      <c r="I97" s="594">
        <f t="shared" si="9"/>
        <v>19.14</v>
      </c>
      <c r="J97" s="568">
        <f>DADOS!C106</f>
        <v>6.4999999999999997E-3</v>
      </c>
      <c r="K97" s="449">
        <f t="shared" si="10"/>
        <v>20.399999999999999</v>
      </c>
      <c r="L97" s="461">
        <f>DADOS!C106</f>
        <v>6.4999999999999997E-3</v>
      </c>
      <c r="M97" s="449">
        <f t="shared" si="11"/>
        <v>20.399999999999999</v>
      </c>
      <c r="N97" s="61"/>
      <c r="O97" s="61"/>
      <c r="P97" s="61"/>
    </row>
    <row r="98" spans="1:16" s="64" customFormat="1" ht="18" customHeight="1" x14ac:dyDescent="0.2">
      <c r="A98" s="840" t="s">
        <v>62</v>
      </c>
      <c r="B98" s="840"/>
      <c r="C98" s="840"/>
      <c r="D98" s="840"/>
      <c r="E98" s="840"/>
      <c r="F98" s="462">
        <f t="shared" ref="F98:M98" si="12">SUM(F92:F97)</f>
        <v>8.2100000000000006E-2</v>
      </c>
      <c r="G98" s="544">
        <f t="shared" si="12"/>
        <v>241.74</v>
      </c>
      <c r="H98" s="609">
        <f>SUM(H92:H97)</f>
        <v>5.0500000000000003E-2</v>
      </c>
      <c r="I98" s="604">
        <f>SUM(I92:I97)</f>
        <v>148.69</v>
      </c>
      <c r="J98" s="569">
        <f t="shared" si="12"/>
        <v>8.2100000000000006E-2</v>
      </c>
      <c r="K98" s="458">
        <f t="shared" si="12"/>
        <v>257.64999999999998</v>
      </c>
      <c r="L98" s="462">
        <f t="shared" si="12"/>
        <v>5.0500000000000003E-2</v>
      </c>
      <c r="M98" s="458">
        <f t="shared" si="12"/>
        <v>158.47999999999999</v>
      </c>
      <c r="N98" s="63"/>
      <c r="O98" s="63"/>
      <c r="P98" s="63"/>
    </row>
    <row r="99" spans="1:16" s="64" customFormat="1" ht="18" customHeight="1" x14ac:dyDescent="0.2">
      <c r="A99" s="464"/>
      <c r="B99" s="464"/>
      <c r="C99" s="464"/>
      <c r="D99" s="464"/>
      <c r="E99" s="464"/>
      <c r="F99" s="448"/>
      <c r="G99" s="542"/>
      <c r="H99" s="608"/>
      <c r="I99" s="598"/>
      <c r="J99" s="562"/>
      <c r="K99" s="453"/>
      <c r="L99" s="448"/>
      <c r="M99" s="453"/>
      <c r="N99" s="63"/>
      <c r="O99" s="63"/>
      <c r="P99" s="63"/>
    </row>
    <row r="100" spans="1:16" s="59" customFormat="1" x14ac:dyDescent="0.2">
      <c r="A100" s="831" t="s">
        <v>112</v>
      </c>
      <c r="B100" s="831"/>
      <c r="C100" s="831"/>
      <c r="D100" s="831"/>
      <c r="E100" s="831"/>
      <c r="F100" s="831"/>
      <c r="G100" s="839"/>
      <c r="H100" s="605"/>
      <c r="I100" s="606"/>
      <c r="J100" s="567"/>
      <c r="K100" s="459"/>
      <c r="L100" s="459"/>
      <c r="M100" s="459"/>
      <c r="N100" s="61"/>
      <c r="O100" s="61"/>
      <c r="P100" s="61"/>
    </row>
    <row r="101" spans="1:16" s="59" customFormat="1" ht="18" customHeight="1" x14ac:dyDescent="0.2">
      <c r="A101" s="437" t="s">
        <v>77</v>
      </c>
      <c r="B101" s="835" t="s">
        <v>123</v>
      </c>
      <c r="C101" s="835"/>
      <c r="D101" s="835"/>
      <c r="E101" s="835"/>
      <c r="F101" s="437" t="s">
        <v>12</v>
      </c>
      <c r="G101" s="545" t="s">
        <v>103</v>
      </c>
      <c r="H101" s="575"/>
      <c r="I101" s="576"/>
      <c r="J101" s="532" t="s">
        <v>12</v>
      </c>
      <c r="K101" s="437" t="s">
        <v>103</v>
      </c>
      <c r="L101" s="437" t="s">
        <v>12</v>
      </c>
      <c r="M101" s="437" t="s">
        <v>103</v>
      </c>
      <c r="N101" s="69"/>
      <c r="O101" s="69"/>
      <c r="P101" s="69"/>
    </row>
    <row r="102" spans="1:16" s="59" customFormat="1" ht="14.25" customHeight="1" x14ac:dyDescent="0.2">
      <c r="A102" s="422" t="s">
        <v>1</v>
      </c>
      <c r="B102" s="460" t="str">
        <f>DADOS!B109</f>
        <v xml:space="preserve">Férias </v>
      </c>
      <c r="C102" s="460"/>
      <c r="D102" s="429"/>
      <c r="E102" s="429"/>
      <c r="F102" s="461">
        <f>DADOS!C109</f>
        <v>8.3299999999999999E-2</v>
      </c>
      <c r="G102" s="542">
        <f t="shared" ref="G102:I109" si="13">F102*$G$40</f>
        <v>245.27</v>
      </c>
      <c r="H102" s="607">
        <v>8.3299999999999999E-2</v>
      </c>
      <c r="I102" s="598">
        <f t="shared" si="13"/>
        <v>245.27</v>
      </c>
      <c r="J102" s="568">
        <f>DADOS!C109</f>
        <v>8.3299999999999999E-2</v>
      </c>
      <c r="K102" s="453">
        <f t="shared" ref="K102:K107" si="14">J102*$K$40</f>
        <v>261.41000000000003</v>
      </c>
      <c r="L102" s="461">
        <f>DADOS!C109</f>
        <v>8.3299999999999999E-2</v>
      </c>
      <c r="M102" s="453">
        <f t="shared" ref="M102:M107" si="15">L102*$M$40</f>
        <v>261.41000000000003</v>
      </c>
      <c r="N102" s="69"/>
      <c r="O102" s="69"/>
      <c r="P102" s="69"/>
    </row>
    <row r="103" spans="1:16" s="59" customFormat="1" ht="14.25" customHeight="1" x14ac:dyDescent="0.2">
      <c r="A103" s="422" t="s">
        <v>2</v>
      </c>
      <c r="B103" s="460" t="str">
        <f>DADOS!B110</f>
        <v>Ausência por doença</v>
      </c>
      <c r="C103" s="460"/>
      <c r="D103" s="429"/>
      <c r="E103" s="429"/>
      <c r="F103" s="461">
        <f>DADOS!C110</f>
        <v>1.3899999999999999E-2</v>
      </c>
      <c r="G103" s="542">
        <f t="shared" si="13"/>
        <v>40.93</v>
      </c>
      <c r="H103" s="607">
        <v>1.3899999999999999E-2</v>
      </c>
      <c r="I103" s="598">
        <f t="shared" si="13"/>
        <v>40.93</v>
      </c>
      <c r="J103" s="568">
        <f>DADOS!C110</f>
        <v>1.3899999999999999E-2</v>
      </c>
      <c r="K103" s="453">
        <f t="shared" si="14"/>
        <v>43.62</v>
      </c>
      <c r="L103" s="461">
        <f>DADOS!C110</f>
        <v>1.3899999999999999E-2</v>
      </c>
      <c r="M103" s="453">
        <f t="shared" si="15"/>
        <v>43.62</v>
      </c>
      <c r="N103" s="69"/>
      <c r="O103" s="69"/>
      <c r="P103" s="69"/>
    </row>
    <row r="104" spans="1:16" s="59" customFormat="1" ht="14.25" customHeight="1" x14ac:dyDescent="0.2">
      <c r="A104" s="422" t="s">
        <v>4</v>
      </c>
      <c r="B104" s="460" t="str">
        <f>DADOS!B111</f>
        <v>Licença Paternidade</v>
      </c>
      <c r="C104" s="460"/>
      <c r="D104" s="429"/>
      <c r="E104" s="429"/>
      <c r="F104" s="461">
        <f>DADOS!C111</f>
        <v>1.2999999999999999E-3</v>
      </c>
      <c r="G104" s="542">
        <f t="shared" si="13"/>
        <v>3.83</v>
      </c>
      <c r="H104" s="607">
        <v>1.2999999999999999E-3</v>
      </c>
      <c r="I104" s="598">
        <f t="shared" si="13"/>
        <v>3.83</v>
      </c>
      <c r="J104" s="568">
        <f>DADOS!C111</f>
        <v>1.2999999999999999E-3</v>
      </c>
      <c r="K104" s="453">
        <f t="shared" si="14"/>
        <v>4.08</v>
      </c>
      <c r="L104" s="461">
        <f>DADOS!C111</f>
        <v>1.2999999999999999E-3</v>
      </c>
      <c r="M104" s="453">
        <f t="shared" si="15"/>
        <v>4.08</v>
      </c>
      <c r="N104" s="69"/>
      <c r="O104" s="69"/>
      <c r="P104" s="69"/>
    </row>
    <row r="105" spans="1:16" s="59" customFormat="1" ht="14.25" customHeight="1" x14ac:dyDescent="0.2">
      <c r="A105" s="422" t="s">
        <v>5</v>
      </c>
      <c r="B105" s="460" t="str">
        <f>DADOS!B112</f>
        <v>Ausências legais</v>
      </c>
      <c r="C105" s="460"/>
      <c r="D105" s="429"/>
      <c r="E105" s="429"/>
      <c r="F105" s="461">
        <f>DADOS!C112</f>
        <v>2.8E-3</v>
      </c>
      <c r="G105" s="542">
        <f t="shared" si="13"/>
        <v>8.24</v>
      </c>
      <c r="H105" s="607">
        <v>2.8E-3</v>
      </c>
      <c r="I105" s="598">
        <f t="shared" si="13"/>
        <v>8.24</v>
      </c>
      <c r="J105" s="568">
        <f>DADOS!C112</f>
        <v>2.8E-3</v>
      </c>
      <c r="K105" s="453">
        <f t="shared" si="14"/>
        <v>8.7899999999999991</v>
      </c>
      <c r="L105" s="461">
        <f>DADOS!C112</f>
        <v>2.8E-3</v>
      </c>
      <c r="M105" s="453">
        <f t="shared" si="15"/>
        <v>8.7899999999999991</v>
      </c>
      <c r="N105" s="69"/>
      <c r="O105" s="69"/>
      <c r="P105" s="69"/>
    </row>
    <row r="106" spans="1:16" s="59" customFormat="1" ht="14.25" customHeight="1" x14ac:dyDescent="0.2">
      <c r="A106" s="422" t="s">
        <v>6</v>
      </c>
      <c r="B106" s="460" t="str">
        <f>DADOS!B113</f>
        <v>Ausência por Acidente de trabalho</v>
      </c>
      <c r="C106" s="460"/>
      <c r="D106" s="429"/>
      <c r="E106" s="429"/>
      <c r="F106" s="461">
        <f>DADOS!C113</f>
        <v>3.3E-3</v>
      </c>
      <c r="G106" s="542">
        <f t="shared" si="13"/>
        <v>9.7200000000000006</v>
      </c>
      <c r="H106" s="607">
        <v>3.3E-3</v>
      </c>
      <c r="I106" s="598">
        <f t="shared" si="13"/>
        <v>9.7200000000000006</v>
      </c>
      <c r="J106" s="568">
        <f>DADOS!C113</f>
        <v>3.3E-3</v>
      </c>
      <c r="K106" s="453">
        <f t="shared" si="14"/>
        <v>10.36</v>
      </c>
      <c r="L106" s="461">
        <f>DADOS!C113</f>
        <v>3.3E-3</v>
      </c>
      <c r="M106" s="453">
        <f t="shared" si="15"/>
        <v>10.36</v>
      </c>
      <c r="N106" s="61"/>
      <c r="O106" s="61"/>
      <c r="P106" s="61"/>
    </row>
    <row r="107" spans="1:16" s="59" customFormat="1" ht="14.25" customHeight="1" x14ac:dyDescent="0.2">
      <c r="A107" s="422" t="s">
        <v>7</v>
      </c>
      <c r="B107" s="460" t="str">
        <f>DADOS!B114</f>
        <v>Outros (especificar)</v>
      </c>
      <c r="C107" s="460"/>
      <c r="D107" s="429"/>
      <c r="E107" s="429"/>
      <c r="F107" s="461">
        <f>DADOS!C114</f>
        <v>0</v>
      </c>
      <c r="G107" s="542">
        <f t="shared" si="13"/>
        <v>0</v>
      </c>
      <c r="H107" s="607">
        <v>0</v>
      </c>
      <c r="I107" s="598">
        <f t="shared" si="13"/>
        <v>0</v>
      </c>
      <c r="J107" s="568">
        <f>DADOS!C114</f>
        <v>0</v>
      </c>
      <c r="K107" s="453">
        <f t="shared" si="14"/>
        <v>0</v>
      </c>
      <c r="L107" s="461">
        <f>DADOS!C114</f>
        <v>0</v>
      </c>
      <c r="M107" s="453">
        <f t="shared" si="15"/>
        <v>0</v>
      </c>
      <c r="N107" s="61"/>
      <c r="O107" s="61"/>
      <c r="P107" s="61"/>
    </row>
    <row r="108" spans="1:16" s="59" customFormat="1" ht="15" customHeight="1" x14ac:dyDescent="0.2">
      <c r="A108" s="840" t="s">
        <v>108</v>
      </c>
      <c r="B108" s="840"/>
      <c r="C108" s="840"/>
      <c r="D108" s="840"/>
      <c r="E108" s="840"/>
      <c r="F108" s="462">
        <f t="shared" ref="F108:L108" si="16">SUM(F102:F107)</f>
        <v>0.1046</v>
      </c>
      <c r="G108" s="543">
        <f t="shared" si="16"/>
        <v>307.99</v>
      </c>
      <c r="H108" s="609">
        <v>0.1046</v>
      </c>
      <c r="I108" s="601">
        <f>SUM(I102:I107)</f>
        <v>307.99</v>
      </c>
      <c r="J108" s="569">
        <f t="shared" si="16"/>
        <v>0.1046</v>
      </c>
      <c r="K108" s="456">
        <f t="shared" si="16"/>
        <v>328.26</v>
      </c>
      <c r="L108" s="462">
        <f t="shared" si="16"/>
        <v>0.1046</v>
      </c>
      <c r="M108" s="456">
        <f>SUM(M102:M107)</f>
        <v>328.26</v>
      </c>
      <c r="N108" s="61"/>
      <c r="O108" s="61"/>
      <c r="P108" s="61"/>
    </row>
    <row r="109" spans="1:16" s="59" customFormat="1" ht="28.5" customHeight="1" x14ac:dyDescent="0.2">
      <c r="A109" s="422" t="s">
        <v>8</v>
      </c>
      <c r="B109" s="819" t="str">
        <f>DADOS!B116</f>
        <v>Incidência dos encargos previstos no Submódulo 4.1 sobre o custo de reposição do profissional ausente</v>
      </c>
      <c r="C109" s="819"/>
      <c r="D109" s="819"/>
      <c r="E109" s="819"/>
      <c r="F109" s="461">
        <f>DADOS!C116</f>
        <v>3.7600000000000001E-2</v>
      </c>
      <c r="G109" s="542">
        <f t="shared" si="13"/>
        <v>110.71</v>
      </c>
      <c r="H109" s="607">
        <v>3.7600000000000001E-2</v>
      </c>
      <c r="I109" s="598">
        <f t="shared" si="13"/>
        <v>110.71</v>
      </c>
      <c r="J109" s="568">
        <f>DADOS!C116</f>
        <v>3.7600000000000001E-2</v>
      </c>
      <c r="K109" s="453">
        <f>J109*$K$40</f>
        <v>118</v>
      </c>
      <c r="L109" s="461">
        <f>DADOS!C116</f>
        <v>3.7600000000000001E-2</v>
      </c>
      <c r="M109" s="453">
        <f>L109*$M$40</f>
        <v>118</v>
      </c>
      <c r="N109" s="69"/>
      <c r="O109" s="69"/>
      <c r="P109" s="69"/>
    </row>
    <row r="110" spans="1:16" s="70" customFormat="1" ht="18" customHeight="1" x14ac:dyDescent="0.2">
      <c r="A110" s="840" t="s">
        <v>62</v>
      </c>
      <c r="B110" s="840"/>
      <c r="C110" s="840"/>
      <c r="D110" s="840"/>
      <c r="E110" s="840"/>
      <c r="F110" s="462">
        <f t="shared" ref="F110:L110" si="17">SUM(F108:F109)</f>
        <v>0.14219999999999999</v>
      </c>
      <c r="G110" s="544">
        <f t="shared" si="17"/>
        <v>418.7</v>
      </c>
      <c r="H110" s="609">
        <v>0.14219999999999999</v>
      </c>
      <c r="I110" s="604">
        <f>SUM(I108:I109)</f>
        <v>418.7</v>
      </c>
      <c r="J110" s="569">
        <f t="shared" si="17"/>
        <v>0.14219999999999999</v>
      </c>
      <c r="K110" s="458">
        <f t="shared" si="17"/>
        <v>446.26</v>
      </c>
      <c r="L110" s="462">
        <f t="shared" si="17"/>
        <v>0.14219999999999999</v>
      </c>
      <c r="M110" s="458">
        <f>SUM(M108:M109)</f>
        <v>446.26</v>
      </c>
      <c r="N110" s="39"/>
      <c r="O110" s="39"/>
      <c r="P110" s="39"/>
    </row>
    <row r="111" spans="1:16" s="64" customFormat="1" ht="18" customHeight="1" x14ac:dyDescent="0.2">
      <c r="A111" s="464"/>
      <c r="B111" s="464"/>
      <c r="C111" s="464"/>
      <c r="D111" s="464"/>
      <c r="E111" s="464"/>
      <c r="F111" s="448"/>
      <c r="G111" s="542"/>
      <c r="H111" s="608"/>
      <c r="I111" s="598"/>
      <c r="J111" s="562"/>
      <c r="K111" s="453"/>
      <c r="L111" s="448"/>
      <c r="M111" s="453"/>
      <c r="N111" s="22"/>
      <c r="O111" s="22"/>
      <c r="P111" s="22"/>
    </row>
    <row r="112" spans="1:16" s="59" customFormat="1" x14ac:dyDescent="0.2">
      <c r="A112" s="832" t="s">
        <v>143</v>
      </c>
      <c r="B112" s="832"/>
      <c r="C112" s="832"/>
      <c r="D112" s="832"/>
      <c r="E112" s="832"/>
      <c r="F112" s="832"/>
      <c r="G112" s="838"/>
      <c r="H112" s="581"/>
      <c r="I112" s="585"/>
      <c r="J112" s="530"/>
      <c r="K112" s="436"/>
      <c r="L112" s="436"/>
      <c r="M112" s="436"/>
      <c r="N112" s="61"/>
      <c r="O112" s="61"/>
      <c r="P112" s="61"/>
    </row>
    <row r="113" spans="1:16" s="59" customFormat="1" ht="18" customHeight="1" x14ac:dyDescent="0.2">
      <c r="A113" s="437">
        <v>4</v>
      </c>
      <c r="B113" s="835" t="s">
        <v>113</v>
      </c>
      <c r="C113" s="835"/>
      <c r="D113" s="835"/>
      <c r="E113" s="835"/>
      <c r="F113" s="437" t="s">
        <v>12</v>
      </c>
      <c r="G113" s="545" t="s">
        <v>103</v>
      </c>
      <c r="H113" s="575" t="s">
        <v>12</v>
      </c>
      <c r="I113" s="576" t="s">
        <v>103</v>
      </c>
      <c r="J113" s="532" t="s">
        <v>12</v>
      </c>
      <c r="K113" s="437" t="s">
        <v>103</v>
      </c>
      <c r="L113" s="437" t="s">
        <v>12</v>
      </c>
      <c r="M113" s="437" t="s">
        <v>103</v>
      </c>
      <c r="N113" s="61"/>
      <c r="O113" s="61"/>
      <c r="P113" s="61"/>
    </row>
    <row r="114" spans="1:16" s="59" customFormat="1" ht="14.25" customHeight="1" x14ac:dyDescent="0.2">
      <c r="A114" s="437" t="s">
        <v>63</v>
      </c>
      <c r="B114" s="460" t="str">
        <f>B65</f>
        <v>Encargos previdenciários, FGTS e outras contribuições</v>
      </c>
      <c r="C114" s="460"/>
      <c r="D114" s="429"/>
      <c r="E114" s="429"/>
      <c r="F114" s="461">
        <f t="shared" ref="F114:M114" si="18">F74</f>
        <v>0.35930000000000001</v>
      </c>
      <c r="G114" s="540">
        <f t="shared" si="18"/>
        <v>1057.95</v>
      </c>
      <c r="H114" s="607">
        <v>0.35930000000000001</v>
      </c>
      <c r="I114" s="594">
        <f>I74</f>
        <v>1057.95</v>
      </c>
      <c r="J114" s="568">
        <f t="shared" si="18"/>
        <v>0.35930000000000001</v>
      </c>
      <c r="K114" s="449">
        <f t="shared" si="18"/>
        <v>1127.55</v>
      </c>
      <c r="L114" s="461">
        <f t="shared" si="18"/>
        <v>0.35930000000000001</v>
      </c>
      <c r="M114" s="449">
        <f t="shared" si="18"/>
        <v>1127.55</v>
      </c>
      <c r="N114" s="61"/>
      <c r="O114" s="61"/>
      <c r="P114" s="61"/>
    </row>
    <row r="115" spans="1:16" s="59" customFormat="1" ht="14.25" customHeight="1" x14ac:dyDescent="0.2">
      <c r="A115" s="437" t="s">
        <v>70</v>
      </c>
      <c r="B115" s="460" t="str">
        <f>B77</f>
        <v xml:space="preserve">13º (décimo terceiro) Salário </v>
      </c>
      <c r="C115" s="460"/>
      <c r="D115" s="429"/>
      <c r="E115" s="429"/>
      <c r="F115" s="461">
        <f t="shared" ref="F115:M115" si="19">F82</f>
        <v>0.151</v>
      </c>
      <c r="G115" s="540">
        <f t="shared" si="19"/>
        <v>444.61</v>
      </c>
      <c r="H115" s="607">
        <v>0.151</v>
      </c>
      <c r="I115" s="594">
        <f>I82</f>
        <v>444.61</v>
      </c>
      <c r="J115" s="568">
        <f t="shared" si="19"/>
        <v>0.151</v>
      </c>
      <c r="K115" s="449">
        <f t="shared" si="19"/>
        <v>473.86</v>
      </c>
      <c r="L115" s="461">
        <f t="shared" si="19"/>
        <v>0.151</v>
      </c>
      <c r="M115" s="449">
        <f t="shared" si="19"/>
        <v>473.86</v>
      </c>
      <c r="N115" s="61"/>
      <c r="O115" s="61"/>
      <c r="P115" s="61"/>
    </row>
    <row r="116" spans="1:16" s="59" customFormat="1" ht="14.25" customHeight="1" x14ac:dyDescent="0.2">
      <c r="A116" s="437" t="s">
        <v>72</v>
      </c>
      <c r="B116" s="460" t="str">
        <f>B85</f>
        <v>Afastamento Maternidade</v>
      </c>
      <c r="C116" s="460"/>
      <c r="D116" s="429"/>
      <c r="E116" s="429"/>
      <c r="F116" s="461">
        <f t="shared" ref="F116:M116" si="20">F88</f>
        <v>0</v>
      </c>
      <c r="G116" s="540">
        <f t="shared" si="20"/>
        <v>0</v>
      </c>
      <c r="H116" s="607">
        <v>0</v>
      </c>
      <c r="I116" s="594">
        <f>I88</f>
        <v>0</v>
      </c>
      <c r="J116" s="568">
        <f t="shared" si="20"/>
        <v>0</v>
      </c>
      <c r="K116" s="449">
        <f t="shared" si="20"/>
        <v>0</v>
      </c>
      <c r="L116" s="461">
        <f t="shared" si="20"/>
        <v>0</v>
      </c>
      <c r="M116" s="449">
        <f t="shared" si="20"/>
        <v>0</v>
      </c>
      <c r="N116" s="61"/>
      <c r="O116" s="61"/>
      <c r="P116" s="61"/>
    </row>
    <row r="117" spans="1:16" s="59" customFormat="1" ht="14.25" customHeight="1" x14ac:dyDescent="0.2">
      <c r="A117" s="437" t="s">
        <v>74</v>
      </c>
      <c r="B117" s="460" t="str">
        <f>B91</f>
        <v>Provisão para Rescisão</v>
      </c>
      <c r="C117" s="460"/>
      <c r="D117" s="429"/>
      <c r="E117" s="429"/>
      <c r="F117" s="461">
        <f t="shared" ref="F117:M117" si="21">F98</f>
        <v>8.2100000000000006E-2</v>
      </c>
      <c r="G117" s="540">
        <f t="shared" si="21"/>
        <v>241.74</v>
      </c>
      <c r="H117" s="607">
        <v>8.2100000000000006E-2</v>
      </c>
      <c r="I117" s="594">
        <f>I98</f>
        <v>148.69</v>
      </c>
      <c r="J117" s="568">
        <f t="shared" si="21"/>
        <v>8.2100000000000006E-2</v>
      </c>
      <c r="K117" s="449">
        <f t="shared" si="21"/>
        <v>257.64999999999998</v>
      </c>
      <c r="L117" s="461">
        <f t="shared" si="21"/>
        <v>5.0500000000000003E-2</v>
      </c>
      <c r="M117" s="449">
        <f t="shared" si="21"/>
        <v>158.47999999999999</v>
      </c>
      <c r="N117" s="61"/>
      <c r="O117" s="61"/>
      <c r="P117" s="61"/>
    </row>
    <row r="118" spans="1:16" s="59" customFormat="1" ht="14.25" customHeight="1" x14ac:dyDescent="0.2">
      <c r="A118" s="437" t="s">
        <v>77</v>
      </c>
      <c r="B118" s="423" t="str">
        <f>B101</f>
        <v>Composição do Custo de Reposição do Profissional Ausente</v>
      </c>
      <c r="C118" s="423"/>
      <c r="D118" s="429"/>
      <c r="E118" s="429"/>
      <c r="F118" s="461">
        <f t="shared" ref="F118:M118" si="22">F110</f>
        <v>0.14219999999999999</v>
      </c>
      <c r="G118" s="540">
        <f t="shared" si="22"/>
        <v>418.7</v>
      </c>
      <c r="H118" s="607">
        <v>0.14219999999999999</v>
      </c>
      <c r="I118" s="594">
        <f>I110</f>
        <v>418.7</v>
      </c>
      <c r="J118" s="568">
        <f t="shared" si="22"/>
        <v>0.14219999999999999</v>
      </c>
      <c r="K118" s="449">
        <f t="shared" si="22"/>
        <v>446.26</v>
      </c>
      <c r="L118" s="461">
        <f t="shared" si="22"/>
        <v>0.14219999999999999</v>
      </c>
      <c r="M118" s="449">
        <f t="shared" si="22"/>
        <v>446.26</v>
      </c>
      <c r="N118" s="61"/>
      <c r="O118" s="61"/>
      <c r="P118" s="61"/>
    </row>
    <row r="119" spans="1:16" s="59" customFormat="1" ht="14.25" customHeight="1" x14ac:dyDescent="0.2">
      <c r="A119" s="437" t="s">
        <v>131</v>
      </c>
      <c r="B119" s="423" t="s">
        <v>81</v>
      </c>
      <c r="C119" s="423"/>
      <c r="D119" s="429"/>
      <c r="E119" s="429"/>
      <c r="F119" s="461">
        <f>F112</f>
        <v>0</v>
      </c>
      <c r="G119" s="540"/>
      <c r="H119" s="607">
        <v>0</v>
      </c>
      <c r="I119" s="594"/>
      <c r="J119" s="568">
        <f>J112</f>
        <v>0</v>
      </c>
      <c r="K119" s="449"/>
      <c r="L119" s="461">
        <f>L112</f>
        <v>0</v>
      </c>
      <c r="M119" s="449"/>
      <c r="N119" s="61"/>
      <c r="O119" s="61"/>
      <c r="P119" s="61"/>
    </row>
    <row r="120" spans="1:16" s="59" customFormat="1" ht="18" customHeight="1" x14ac:dyDescent="0.2">
      <c r="A120" s="466"/>
      <c r="B120" s="834" t="s">
        <v>144</v>
      </c>
      <c r="C120" s="834"/>
      <c r="D120" s="834"/>
      <c r="E120" s="834"/>
      <c r="F120" s="462">
        <f t="shared" ref="F120:M120" si="23">SUM(F114:F119)</f>
        <v>0.73460000000000003</v>
      </c>
      <c r="G120" s="544">
        <f t="shared" si="23"/>
        <v>2163</v>
      </c>
      <c r="H120" s="609">
        <v>0.73460000000000003</v>
      </c>
      <c r="I120" s="604">
        <f>SUM(I114:I119)</f>
        <v>2069.9499999999998</v>
      </c>
      <c r="J120" s="569">
        <f t="shared" si="23"/>
        <v>0.73460000000000003</v>
      </c>
      <c r="K120" s="458">
        <f t="shared" si="23"/>
        <v>2305.3200000000002</v>
      </c>
      <c r="L120" s="462">
        <f t="shared" si="23"/>
        <v>0.70299999999999996</v>
      </c>
      <c r="M120" s="458">
        <f t="shared" si="23"/>
        <v>2206.15</v>
      </c>
      <c r="N120" s="61"/>
      <c r="O120" s="61"/>
      <c r="P120" s="61"/>
    </row>
    <row r="121" spans="1:16" s="59" customFormat="1" x14ac:dyDescent="0.2">
      <c r="A121" s="422"/>
      <c r="B121" s="429"/>
      <c r="C121" s="429"/>
      <c r="D121" s="429"/>
      <c r="E121" s="429"/>
      <c r="F121" s="448"/>
      <c r="G121" s="540"/>
      <c r="H121" s="593"/>
      <c r="I121" s="594"/>
      <c r="J121" s="562"/>
      <c r="K121" s="449"/>
      <c r="L121" s="448"/>
      <c r="M121" s="449"/>
      <c r="N121" s="61"/>
      <c r="O121" s="61"/>
      <c r="P121" s="61"/>
    </row>
    <row r="122" spans="1:16" s="59" customFormat="1" x14ac:dyDescent="0.2">
      <c r="A122" s="832" t="s">
        <v>40</v>
      </c>
      <c r="B122" s="832"/>
      <c r="C122" s="832"/>
      <c r="D122" s="832"/>
      <c r="E122" s="832"/>
      <c r="F122" s="832"/>
      <c r="G122" s="838"/>
      <c r="H122" s="581"/>
      <c r="I122" s="585"/>
      <c r="J122" s="530"/>
      <c r="K122" s="436"/>
      <c r="L122" s="436"/>
      <c r="M122" s="436"/>
      <c r="N122" s="61"/>
      <c r="O122" s="61"/>
    </row>
    <row r="123" spans="1:16" s="59" customFormat="1" ht="18" customHeight="1" x14ac:dyDescent="0.2">
      <c r="A123" s="437">
        <v>5</v>
      </c>
      <c r="B123" s="835" t="s">
        <v>29</v>
      </c>
      <c r="C123" s="835"/>
      <c r="D123" s="835"/>
      <c r="E123" s="835"/>
      <c r="F123" s="437" t="s">
        <v>12</v>
      </c>
      <c r="G123" s="545" t="s">
        <v>103</v>
      </c>
      <c r="H123" s="575" t="s">
        <v>12</v>
      </c>
      <c r="I123" s="576" t="s">
        <v>103</v>
      </c>
      <c r="J123" s="532" t="s">
        <v>12</v>
      </c>
      <c r="K123" s="437" t="s">
        <v>103</v>
      </c>
      <c r="L123" s="437" t="s">
        <v>12</v>
      </c>
      <c r="M123" s="437" t="s">
        <v>103</v>
      </c>
      <c r="N123" s="61"/>
      <c r="O123" s="61"/>
      <c r="P123" s="61"/>
    </row>
    <row r="124" spans="1:16" s="59" customFormat="1" x14ac:dyDescent="0.2">
      <c r="A124" s="422" t="s">
        <v>1</v>
      </c>
      <c r="B124" s="429" t="s">
        <v>30</v>
      </c>
      <c r="C124" s="429"/>
      <c r="D124" s="429"/>
      <c r="E124" s="429"/>
      <c r="F124" s="461">
        <f>DADOS!E60</f>
        <v>6.9000000000000006E-2</v>
      </c>
      <c r="G124" s="546">
        <f>G137*F124</f>
        <v>424.24</v>
      </c>
      <c r="H124" s="610">
        <v>6.6000000000000003E-2</v>
      </c>
      <c r="I124" s="611">
        <f>I137*H124</f>
        <v>399.66</v>
      </c>
      <c r="J124" s="570">
        <v>6.9000000000000006E-2</v>
      </c>
      <c r="K124" s="467">
        <f>K137*J124</f>
        <v>449.8</v>
      </c>
      <c r="L124" s="621">
        <v>6.6000000000000003E-2</v>
      </c>
      <c r="M124" s="467">
        <f>M137*L124</f>
        <v>423.55</v>
      </c>
      <c r="N124" s="61"/>
      <c r="O124" s="61"/>
      <c r="P124" s="61"/>
    </row>
    <row r="125" spans="1:16" s="59" customFormat="1" x14ac:dyDescent="0.2">
      <c r="A125" s="836" t="s">
        <v>2</v>
      </c>
      <c r="B125" s="468" t="s">
        <v>23</v>
      </c>
      <c r="C125" s="429"/>
      <c r="D125" s="429"/>
      <c r="E125" s="429"/>
      <c r="F125" s="461">
        <f>SUM(F126:F127)</f>
        <v>8.6499999999999994E-2</v>
      </c>
      <c r="G125" s="546"/>
      <c r="H125" s="607">
        <v>8.6499999999999994E-2</v>
      </c>
      <c r="I125" s="611"/>
      <c r="J125" s="568">
        <f>SUM(J126:J127)</f>
        <v>8.6499999999999994E-2</v>
      </c>
      <c r="K125" s="467"/>
      <c r="L125" s="461">
        <f>SUM(L126:L127)</f>
        <v>8.6499999999999994E-2</v>
      </c>
      <c r="M125" s="467"/>
      <c r="N125" s="61"/>
      <c r="O125" s="61"/>
      <c r="P125" s="61"/>
    </row>
    <row r="126" spans="1:16" s="59" customFormat="1" x14ac:dyDescent="0.2">
      <c r="A126" s="836"/>
      <c r="B126" s="460" t="s">
        <v>338</v>
      </c>
      <c r="C126" s="460"/>
      <c r="D126" s="429"/>
      <c r="E126" s="429"/>
      <c r="F126" s="461">
        <f>DADOS!C75+DADOS!C74</f>
        <v>3.6499999999999998E-2</v>
      </c>
      <c r="G126" s="547">
        <f>($G$137+$G$124+$G$128)/DADOS!C$77*F126</f>
        <v>272.73</v>
      </c>
      <c r="H126" s="607">
        <v>3.6499999999999998E-2</v>
      </c>
      <c r="I126" s="612">
        <f>($I$137+$I$124+$I$128)/(1-H126-H127)*H126</f>
        <v>265.66000000000003</v>
      </c>
      <c r="J126" s="568">
        <f>DADOS!C75+DADOS!C74</f>
        <v>3.6499999999999998E-2</v>
      </c>
      <c r="K126" s="469">
        <f>($K$137+$K$124+$K$128)/DADOS!C$77*J126</f>
        <v>289.16000000000003</v>
      </c>
      <c r="L126" s="461">
        <f>DADOS!C75+DADOS!C74</f>
        <v>3.6499999999999998E-2</v>
      </c>
      <c r="M126" s="469">
        <f>($M$137+$M$124+$M$128)/(1-L126-L127)*L126</f>
        <v>281.54000000000002</v>
      </c>
      <c r="N126" s="61"/>
      <c r="O126" s="61"/>
      <c r="P126" s="61"/>
    </row>
    <row r="127" spans="1:16" s="59" customFormat="1" x14ac:dyDescent="0.2">
      <c r="A127" s="836"/>
      <c r="B127" s="460" t="s">
        <v>339</v>
      </c>
      <c r="C127" s="460"/>
      <c r="D127" s="429"/>
      <c r="E127" s="429"/>
      <c r="F127" s="461">
        <f>DADOS!C73</f>
        <v>0.05</v>
      </c>
      <c r="G127" s="547">
        <f>($G$137+$G$124+$G$128)/DADOS!C$77*F127</f>
        <v>373.6</v>
      </c>
      <c r="H127" s="607">
        <v>0.05</v>
      </c>
      <c r="I127" s="612">
        <f>($I$137+$I$124+$I$128)/(1-H126-H127)*H127</f>
        <v>363.91</v>
      </c>
      <c r="J127" s="568">
        <f>DADOS!C73</f>
        <v>0.05</v>
      </c>
      <c r="K127" s="469">
        <f>($K$137+$K$124+$K$128)/DADOS!C$77*J127</f>
        <v>396.11</v>
      </c>
      <c r="L127" s="461">
        <f>DADOS!C73</f>
        <v>0.05</v>
      </c>
      <c r="M127" s="469">
        <f>($M$137+$M$124+$M$128)/(1-L126-L127)*L127</f>
        <v>385.67</v>
      </c>
      <c r="N127" s="61"/>
      <c r="O127" s="61"/>
      <c r="P127" s="61"/>
    </row>
    <row r="128" spans="1:16" s="59" customFormat="1" x14ac:dyDescent="0.2">
      <c r="A128" s="422" t="s">
        <v>2</v>
      </c>
      <c r="B128" s="429" t="s">
        <v>20</v>
      </c>
      <c r="C128" s="429"/>
      <c r="D128" s="429"/>
      <c r="E128" s="429"/>
      <c r="F128" s="461">
        <f>DADOS!E61</f>
        <v>3.85E-2</v>
      </c>
      <c r="G128" s="548">
        <f>(G137+G124)*F128</f>
        <v>253.05</v>
      </c>
      <c r="H128" s="610">
        <v>0.03</v>
      </c>
      <c r="I128" s="613">
        <f>(I137+I124)*H128</f>
        <v>193.65</v>
      </c>
      <c r="J128" s="570">
        <v>3.85E-2</v>
      </c>
      <c r="K128" s="470">
        <f>(K137+K124)*J128</f>
        <v>268.29000000000002</v>
      </c>
      <c r="L128" s="621">
        <v>0.03</v>
      </c>
      <c r="M128" s="470">
        <f>(M137+M124)*L128</f>
        <v>205.23</v>
      </c>
      <c r="N128" s="61"/>
      <c r="O128" s="61"/>
      <c r="P128" s="61"/>
    </row>
    <row r="129" spans="1:17" s="59" customFormat="1" ht="18" customHeight="1" x14ac:dyDescent="0.25">
      <c r="A129" s="840" t="s">
        <v>337</v>
      </c>
      <c r="B129" s="840"/>
      <c r="C129" s="840"/>
      <c r="D129" s="840"/>
      <c r="E129" s="840"/>
      <c r="F129" s="840"/>
      <c r="G129" s="549">
        <f>G124+G126+G127+G128</f>
        <v>1323.62</v>
      </c>
      <c r="H129" s="614"/>
      <c r="I129" s="615">
        <f>I124+I126+I127+I128</f>
        <v>1222.8800000000001</v>
      </c>
      <c r="J129" s="571"/>
      <c r="K129" s="471">
        <f>K124+K126+K127+K128</f>
        <v>1403.36</v>
      </c>
      <c r="L129" s="471"/>
      <c r="M129" s="471">
        <f>M124+M126+M127+M128</f>
        <v>1295.99</v>
      </c>
      <c r="N129" s="61" t="s">
        <v>0</v>
      </c>
      <c r="O129" s="61"/>
      <c r="P129" s="61"/>
      <c r="Q129" s="80"/>
    </row>
    <row r="130" spans="1:17" s="59" customFormat="1" x14ac:dyDescent="0.2">
      <c r="A130" s="424"/>
      <c r="B130" s="424"/>
      <c r="C130" s="424"/>
      <c r="D130" s="424"/>
      <c r="E130" s="424"/>
      <c r="F130" s="424"/>
      <c r="G130" s="550"/>
      <c r="H130" s="616"/>
      <c r="I130" s="617"/>
      <c r="J130" s="572"/>
      <c r="K130" s="472"/>
      <c r="L130" s="424"/>
      <c r="M130" s="472"/>
      <c r="N130" s="61"/>
      <c r="O130" s="61"/>
      <c r="P130" s="61"/>
    </row>
    <row r="131" spans="1:17" s="59" customFormat="1" x14ac:dyDescent="0.2">
      <c r="A131" s="832" t="s">
        <v>340</v>
      </c>
      <c r="B131" s="832"/>
      <c r="C131" s="832"/>
      <c r="D131" s="832"/>
      <c r="E131" s="832"/>
      <c r="F131" s="832"/>
      <c r="G131" s="838"/>
      <c r="H131" s="581"/>
      <c r="I131" s="585"/>
      <c r="J131" s="530"/>
      <c r="K131" s="436"/>
      <c r="L131" s="436"/>
      <c r="M131" s="436"/>
      <c r="N131" s="61"/>
      <c r="O131" s="61"/>
    </row>
    <row r="132" spans="1:17" s="59" customFormat="1" ht="16.5" customHeight="1" x14ac:dyDescent="0.2">
      <c r="A132" s="832" t="s">
        <v>341</v>
      </c>
      <c r="B132" s="832"/>
      <c r="C132" s="832"/>
      <c r="D132" s="832"/>
      <c r="E132" s="832"/>
      <c r="F132" s="832"/>
      <c r="G132" s="545" t="s">
        <v>162</v>
      </c>
      <c r="H132" s="575"/>
      <c r="I132" s="576"/>
      <c r="J132" s="532"/>
      <c r="K132" s="437" t="s">
        <v>162</v>
      </c>
      <c r="L132" s="437"/>
      <c r="M132" s="437" t="s">
        <v>162</v>
      </c>
      <c r="N132" s="61"/>
      <c r="O132" s="61"/>
    </row>
    <row r="133" spans="1:17" s="59" customFormat="1" ht="14.25" customHeight="1" x14ac:dyDescent="0.2">
      <c r="A133" s="422" t="s">
        <v>1</v>
      </c>
      <c r="B133" s="423" t="s">
        <v>389</v>
      </c>
      <c r="C133" s="423"/>
      <c r="D133" s="424"/>
      <c r="E133" s="424"/>
      <c r="F133" s="448"/>
      <c r="G133" s="540">
        <f>G40</f>
        <v>2944.45</v>
      </c>
      <c r="H133" s="593"/>
      <c r="I133" s="594">
        <f>I40</f>
        <v>2944.45</v>
      </c>
      <c r="J133" s="562"/>
      <c r="K133" s="449">
        <f>K40</f>
        <v>3138.19</v>
      </c>
      <c r="L133" s="448"/>
      <c r="M133" s="449">
        <f>M40</f>
        <v>3138.19</v>
      </c>
      <c r="N133" s="61"/>
      <c r="O133" s="61"/>
    </row>
    <row r="134" spans="1:17" s="59" customFormat="1" ht="14.25" customHeight="1" x14ac:dyDescent="0.2">
      <c r="A134" s="422" t="s">
        <v>2</v>
      </c>
      <c r="B134" s="423" t="s">
        <v>390</v>
      </c>
      <c r="C134" s="423"/>
      <c r="D134" s="424"/>
      <c r="E134" s="424"/>
      <c r="F134" s="448"/>
      <c r="G134" s="540">
        <f>G54</f>
        <v>765.2</v>
      </c>
      <c r="H134" s="593"/>
      <c r="I134" s="594">
        <f>I54</f>
        <v>765.2</v>
      </c>
      <c r="J134" s="562"/>
      <c r="K134" s="449">
        <f>K54</f>
        <v>799.52</v>
      </c>
      <c r="L134" s="448"/>
      <c r="M134" s="449">
        <f>M54</f>
        <v>799.52</v>
      </c>
      <c r="N134" s="61"/>
      <c r="O134" s="61"/>
    </row>
    <row r="135" spans="1:17" s="59" customFormat="1" ht="14.25" customHeight="1" x14ac:dyDescent="0.2">
      <c r="A135" s="422" t="s">
        <v>4</v>
      </c>
      <c r="B135" s="423" t="s">
        <v>391</v>
      </c>
      <c r="C135" s="423"/>
      <c r="D135" s="424"/>
      <c r="E135" s="424"/>
      <c r="F135" s="448"/>
      <c r="G135" s="540">
        <f>G61</f>
        <v>275.79000000000002</v>
      </c>
      <c r="H135" s="593"/>
      <c r="I135" s="594">
        <f>I61</f>
        <v>275.79000000000002</v>
      </c>
      <c r="J135" s="562"/>
      <c r="K135" s="449">
        <f>K61</f>
        <v>275.79000000000002</v>
      </c>
      <c r="L135" s="448"/>
      <c r="M135" s="449">
        <f>M61</f>
        <v>273.55</v>
      </c>
      <c r="N135" s="61"/>
      <c r="O135" s="61"/>
    </row>
    <row r="136" spans="1:17" s="59" customFormat="1" ht="14.25" customHeight="1" x14ac:dyDescent="0.2">
      <c r="A136" s="422" t="s">
        <v>5</v>
      </c>
      <c r="B136" s="423" t="s">
        <v>392</v>
      </c>
      <c r="C136" s="423"/>
      <c r="D136" s="424"/>
      <c r="E136" s="424"/>
      <c r="F136" s="448"/>
      <c r="G136" s="540">
        <f>G120</f>
        <v>2163</v>
      </c>
      <c r="H136" s="593"/>
      <c r="I136" s="594">
        <f>I120</f>
        <v>2069.9499999999998</v>
      </c>
      <c r="J136" s="562"/>
      <c r="K136" s="449">
        <f>K120</f>
        <v>2305.3200000000002</v>
      </c>
      <c r="L136" s="448"/>
      <c r="M136" s="449">
        <f>M120</f>
        <v>2206.15</v>
      </c>
      <c r="N136" s="61"/>
      <c r="O136" s="61"/>
    </row>
    <row r="137" spans="1:17" s="59" customFormat="1" x14ac:dyDescent="0.2">
      <c r="A137" s="834" t="s">
        <v>114</v>
      </c>
      <c r="B137" s="834"/>
      <c r="C137" s="834"/>
      <c r="D137" s="834"/>
      <c r="E137" s="834"/>
      <c r="F137" s="834"/>
      <c r="G137" s="540">
        <f>SUM(G133:G136)</f>
        <v>6148.44</v>
      </c>
      <c r="H137" s="593"/>
      <c r="I137" s="594">
        <f>SUM(I133:I136)</f>
        <v>6055.39</v>
      </c>
      <c r="J137" s="573"/>
      <c r="K137" s="449">
        <f>SUM(K133:K136)</f>
        <v>6518.82</v>
      </c>
      <c r="L137" s="449"/>
      <c r="M137" s="449">
        <f>SUM(M133:M136)</f>
        <v>6417.41</v>
      </c>
    </row>
    <row r="138" spans="1:17" s="59" customFormat="1" ht="14.25" customHeight="1" x14ac:dyDescent="0.2">
      <c r="A138" s="422" t="s">
        <v>6</v>
      </c>
      <c r="B138" s="423" t="s">
        <v>393</v>
      </c>
      <c r="C138" s="423"/>
      <c r="D138" s="424"/>
      <c r="E138" s="424"/>
      <c r="F138" s="448"/>
      <c r="G138" s="540">
        <f>G129</f>
        <v>1323.62</v>
      </c>
      <c r="H138" s="593"/>
      <c r="I138" s="594">
        <f>I129</f>
        <v>1222.8800000000001</v>
      </c>
      <c r="J138" s="562"/>
      <c r="K138" s="449">
        <f>K129</f>
        <v>1403.36</v>
      </c>
      <c r="L138" s="448"/>
      <c r="M138" s="449">
        <f>M129</f>
        <v>1295.99</v>
      </c>
    </row>
    <row r="139" spans="1:17" s="59" customFormat="1" ht="15.75" customHeight="1" thickBot="1" x14ac:dyDescent="0.25">
      <c r="A139" s="840" t="s">
        <v>342</v>
      </c>
      <c r="B139" s="840"/>
      <c r="C139" s="840"/>
      <c r="D139" s="840"/>
      <c r="E139" s="840"/>
      <c r="F139" s="840"/>
      <c r="G139" s="551">
        <f>SUM(G137:G138)</f>
        <v>7472.06</v>
      </c>
      <c r="H139" s="618"/>
      <c r="I139" s="619">
        <f>SUM(I137:I138)</f>
        <v>7278.27</v>
      </c>
      <c r="J139" s="574"/>
      <c r="K139" s="473">
        <f>SUM(K137:K138)</f>
        <v>7922.18</v>
      </c>
      <c r="L139" s="473"/>
      <c r="M139" s="473">
        <f>SUM(M137:M138)</f>
        <v>7713.4</v>
      </c>
    </row>
    <row r="140" spans="1:17" s="64" customFormat="1" x14ac:dyDescent="0.2">
      <c r="A140" s="24"/>
      <c r="B140" s="34"/>
      <c r="C140" s="34"/>
      <c r="D140" s="34"/>
      <c r="E140" s="34"/>
      <c r="F140" s="35"/>
      <c r="G140" s="36">
        <v>7472.06</v>
      </c>
      <c r="H140" s="36"/>
      <c r="I140" s="36">
        <v>7278.27</v>
      </c>
      <c r="J140" s="35"/>
      <c r="K140" s="36">
        <v>7922.18</v>
      </c>
      <c r="L140" s="35"/>
      <c r="M140" s="36"/>
    </row>
    <row r="141" spans="1:17" s="59" customFormat="1" x14ac:dyDescent="0.2">
      <c r="A141" s="22"/>
      <c r="B141" s="22"/>
      <c r="C141" s="22"/>
      <c r="D141" s="22"/>
      <c r="E141" s="22"/>
      <c r="F141" s="22"/>
      <c r="G141" s="23"/>
      <c r="H141" s="23"/>
      <c r="I141" s="23"/>
      <c r="J141" s="22"/>
      <c r="K141" s="23"/>
      <c r="L141" s="22"/>
      <c r="M141" s="23"/>
    </row>
    <row r="142" spans="1:17" s="59" customFormat="1" x14ac:dyDescent="0.2">
      <c r="A142" s="22"/>
      <c r="B142" s="22"/>
      <c r="C142" s="22"/>
      <c r="D142" s="22"/>
      <c r="E142" s="22"/>
      <c r="F142" s="22"/>
      <c r="G142" s="23"/>
      <c r="H142" s="23"/>
      <c r="I142" s="23"/>
      <c r="J142" s="22"/>
      <c r="K142" s="23"/>
      <c r="L142" s="22"/>
      <c r="M142" s="23"/>
    </row>
    <row r="143" spans="1:17" s="59" customFormat="1" x14ac:dyDescent="0.2">
      <c r="A143" s="22"/>
      <c r="B143" s="22"/>
      <c r="C143" s="22"/>
      <c r="D143" s="22"/>
      <c r="E143" s="22"/>
      <c r="F143" s="22"/>
      <c r="G143" s="23"/>
      <c r="H143" s="23"/>
      <c r="I143" s="23"/>
      <c r="J143" s="22"/>
      <c r="K143" s="23"/>
      <c r="L143" s="22"/>
      <c r="M143" s="23"/>
    </row>
    <row r="144" spans="1:17" s="59" customFormat="1" x14ac:dyDescent="0.2">
      <c r="A144" s="22"/>
      <c r="B144" s="22"/>
      <c r="C144" s="22"/>
      <c r="D144" s="22"/>
      <c r="E144" s="22"/>
      <c r="F144" s="22"/>
      <c r="G144" s="23"/>
      <c r="H144" s="23"/>
      <c r="I144" s="23"/>
      <c r="J144" s="22"/>
      <c r="K144" s="23"/>
      <c r="L144" s="22"/>
      <c r="M144" s="23"/>
    </row>
    <row r="145" spans="1:13" s="59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2"/>
      <c r="K145" s="23"/>
      <c r="L145" s="22"/>
      <c r="M145" s="23"/>
    </row>
    <row r="146" spans="1:13" s="59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2"/>
      <c r="K146" s="23"/>
      <c r="L146" s="22"/>
      <c r="M146" s="23"/>
    </row>
    <row r="147" spans="1:13" s="59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2"/>
      <c r="K147" s="23"/>
      <c r="L147" s="22"/>
      <c r="M147" s="23"/>
    </row>
  </sheetData>
  <mergeCells count="109">
    <mergeCell ref="F16:G16"/>
    <mergeCell ref="A11:E11"/>
    <mergeCell ref="F11:G11"/>
    <mergeCell ref="H11:I11"/>
    <mergeCell ref="H12:I12"/>
    <mergeCell ref="H13:I13"/>
    <mergeCell ref="H14:I14"/>
    <mergeCell ref="F12:G12"/>
    <mergeCell ref="F13:G13"/>
    <mergeCell ref="A14:A15"/>
    <mergeCell ref="B14:E15"/>
    <mergeCell ref="F14:G14"/>
    <mergeCell ref="F15:G15"/>
    <mergeCell ref="A132:F132"/>
    <mergeCell ref="A137:F137"/>
    <mergeCell ref="A139:F139"/>
    <mergeCell ref="A129:F129"/>
    <mergeCell ref="A21:G21"/>
    <mergeCell ref="J26:K26"/>
    <mergeCell ref="J27:K27"/>
    <mergeCell ref="B26:E26"/>
    <mergeCell ref="A122:G122"/>
    <mergeCell ref="B123:E123"/>
    <mergeCell ref="A112:G112"/>
    <mergeCell ref="B113:E113"/>
    <mergeCell ref="A125:A127"/>
    <mergeCell ref="A131:G131"/>
    <mergeCell ref="A100:G100"/>
    <mergeCell ref="B101:E101"/>
    <mergeCell ref="A108:E108"/>
    <mergeCell ref="B109:E109"/>
    <mergeCell ref="H24:I24"/>
    <mergeCell ref="H25:I25"/>
    <mergeCell ref="H26:I26"/>
    <mergeCell ref="H27:I27"/>
    <mergeCell ref="A110:E110"/>
    <mergeCell ref="B120:E120"/>
    <mergeCell ref="A84:G84"/>
    <mergeCell ref="B85:E85"/>
    <mergeCell ref="A88:E88"/>
    <mergeCell ref="A90:G90"/>
    <mergeCell ref="B91:E91"/>
    <mergeCell ref="A98:E98"/>
    <mergeCell ref="B77:E77"/>
    <mergeCell ref="A80:E80"/>
    <mergeCell ref="A63:G63"/>
    <mergeCell ref="A64:G64"/>
    <mergeCell ref="B81:E81"/>
    <mergeCell ref="A82:E82"/>
    <mergeCell ref="B61:F61"/>
    <mergeCell ref="B65:E65"/>
    <mergeCell ref="B47:E47"/>
    <mergeCell ref="B54:F54"/>
    <mergeCell ref="A74:E74"/>
    <mergeCell ref="A76:G76"/>
    <mergeCell ref="B49:E49"/>
    <mergeCell ref="B50:E50"/>
    <mergeCell ref="A56:G56"/>
    <mergeCell ref="B39:E39"/>
    <mergeCell ref="F26:G26"/>
    <mergeCell ref="B27:E27"/>
    <mergeCell ref="F27:G27"/>
    <mergeCell ref="A29:G29"/>
    <mergeCell ref="B30:E30"/>
    <mergeCell ref="B57:E57"/>
    <mergeCell ref="B46:E46"/>
    <mergeCell ref="B51:E51"/>
    <mergeCell ref="B40:F40"/>
    <mergeCell ref="B48:E48"/>
    <mergeCell ref="A42:G42"/>
    <mergeCell ref="B43:E43"/>
    <mergeCell ref="A44:A45"/>
    <mergeCell ref="B45:E45"/>
    <mergeCell ref="B44:E44"/>
    <mergeCell ref="J11:K11"/>
    <mergeCell ref="A4:G4"/>
    <mergeCell ref="A5:G5"/>
    <mergeCell ref="B38:E38"/>
    <mergeCell ref="B33:E33"/>
    <mergeCell ref="A17:G17"/>
    <mergeCell ref="B18:D18"/>
    <mergeCell ref="B19:D19"/>
    <mergeCell ref="A22:G22"/>
    <mergeCell ref="A23:G23"/>
    <mergeCell ref="J10:K10"/>
    <mergeCell ref="B25:E25"/>
    <mergeCell ref="F25:G25"/>
    <mergeCell ref="J25:K25"/>
    <mergeCell ref="B24:E24"/>
    <mergeCell ref="F24:G24"/>
    <mergeCell ref="J12:K12"/>
    <mergeCell ref="J13:K13"/>
    <mergeCell ref="J14:K14"/>
    <mergeCell ref="J15:K15"/>
    <mergeCell ref="J16:K16"/>
    <mergeCell ref="J24:K24"/>
    <mergeCell ref="H15:I15"/>
    <mergeCell ref="H16:I16"/>
    <mergeCell ref="L10:M10"/>
    <mergeCell ref="L26:M26"/>
    <mergeCell ref="L27:M27"/>
    <mergeCell ref="L11:M11"/>
    <mergeCell ref="L12:M12"/>
    <mergeCell ref="L13:M13"/>
    <mergeCell ref="L14:M14"/>
    <mergeCell ref="L15:M15"/>
    <mergeCell ref="L16:M16"/>
    <mergeCell ref="L24:M24"/>
    <mergeCell ref="L25:M2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2" fitToHeight="0" orientation="portrait" r:id="rId1"/>
  <headerFooter alignWithMargins="0">
    <oddHeader>&amp;L&amp;"Cambria,Negrito"&amp;8PROPOSTA Nº 011/2017 - MME</oddHeader>
  </headerFooter>
  <rowBreaks count="1" manualBreakCount="1">
    <brk id="74" max="10" man="1"/>
  </rowBreaks>
  <ignoredErrors>
    <ignoredError sqref="A22:G28 A59:A60 C59:F60 A58:F58 A62:G62 A61:F61 G58:G60 A45:B45 A44 A54:G55 A46:B46 A41:G41 A40:F40 E7:G8 B9:G9 A17:G18 A10:G10 A29:G30 A20:G20 A19 C19:G19 F46:G48 A33:B33 F33:G33 F39 A47:B47 A48:B48 A49:B49 B52:G53 B51 A42:G43 A56:G57 A83:G112 A63 A64 A114:G121 F113:G113 A130:G130 A122:G124 C125:E127 G125 A137:G137 B131:G131 B132:G132 A141:G143 B139:G139 A50:B50 G50 A65:G78 A80:E80 A81:E81 A82:E82 A133 C133:G133 A134 C134:G134 A135 C135:G135 A136 C136:G136 A138 C138:F138 F45:G45 F49:G49 A12:G16 A11 G11 A32:G32 A31:F31 A140:F14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theme="8" tint="0.79998168889431442"/>
  </sheetPr>
  <dimension ref="A1:N147"/>
  <sheetViews>
    <sheetView view="pageBreakPreview" zoomScaleNormal="100" zoomScaleSheetLayoutView="100" workbookViewId="0">
      <pane ySplit="11" topLeftCell="A117" activePane="bottomLeft" state="frozen"/>
      <selection activeCell="B1" sqref="B1"/>
      <selection pane="bottomLeft" activeCell="D134" sqref="D134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6.5703125" style="22" customWidth="1"/>
    <col min="7" max="7" width="16.5703125" style="23" customWidth="1"/>
    <col min="8" max="8" width="16.5703125" style="22" customWidth="1"/>
    <col min="9" max="9" width="16.5703125" style="23" customWidth="1"/>
    <col min="10" max="10" width="16.5703125" style="22" customWidth="1"/>
    <col min="11" max="11" width="16.5703125" style="23" customWidth="1"/>
    <col min="12" max="13" width="16.5703125" style="58" customWidth="1"/>
    <col min="14" max="16384" width="9.140625" style="58"/>
  </cols>
  <sheetData>
    <row r="1" spans="1:13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19"/>
      <c r="I1" s="20"/>
      <c r="J1" s="19"/>
      <c r="K1" s="20"/>
    </row>
    <row r="2" spans="1:13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19"/>
      <c r="I2" s="20"/>
      <c r="J2" s="19"/>
      <c r="K2" s="20"/>
    </row>
    <row r="3" spans="1:13" x14ac:dyDescent="0.2">
      <c r="A3" s="21"/>
    </row>
    <row r="4" spans="1:13" s="59" customFormat="1" ht="15.75" customHeight="1" x14ac:dyDescent="0.2">
      <c r="A4" s="818" t="s">
        <v>359</v>
      </c>
      <c r="B4" s="818"/>
      <c r="C4" s="818"/>
      <c r="D4" s="818"/>
      <c r="E4" s="818"/>
      <c r="F4" s="818"/>
      <c r="G4" s="818"/>
      <c r="H4" s="631"/>
      <c r="I4" s="631"/>
      <c r="J4" s="631"/>
      <c r="K4" s="631"/>
    </row>
    <row r="5" spans="1:13" s="59" customFormat="1" ht="15.75" customHeight="1" x14ac:dyDescent="0.2">
      <c r="A5" s="818" t="str">
        <f>DADOS!A19</f>
        <v>PLANILHA DE CUSTOS E FORMAÇÃO DE PREÇOS - MME</v>
      </c>
      <c r="B5" s="818"/>
      <c r="C5" s="818"/>
      <c r="D5" s="818"/>
      <c r="E5" s="818"/>
      <c r="F5" s="818"/>
      <c r="G5" s="818"/>
      <c r="H5" s="631"/>
      <c r="I5" s="631"/>
      <c r="J5" s="631"/>
      <c r="K5" s="631"/>
    </row>
    <row r="6" spans="1:13" s="59" customFormat="1" ht="15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3" s="59" customFormat="1" ht="15.75" customHeight="1" x14ac:dyDescent="0.2">
      <c r="A7" s="37" t="str">
        <f>DADOS!A3&amp;  " " &amp;DADOS!C3</f>
        <v>Processo nº 48000.001766/2016-11</v>
      </c>
      <c r="B7" s="37"/>
      <c r="C7" s="72"/>
      <c r="D7" s="72"/>
      <c r="E7" s="27"/>
      <c r="F7" s="26"/>
      <c r="G7" s="27"/>
      <c r="H7" s="26"/>
      <c r="I7" s="27"/>
      <c r="J7" s="26"/>
      <c r="K7" s="27"/>
    </row>
    <row r="8" spans="1:13" s="59" customFormat="1" ht="15.75" customHeight="1" x14ac:dyDescent="0.2">
      <c r="A8" s="37" t="str">
        <f>DADOS!B8 &amp; " " &amp; DADOS!C8</f>
        <v>Pregão Eletrônico nº 001/2017</v>
      </c>
      <c r="B8" s="37"/>
      <c r="C8" s="71"/>
      <c r="D8" s="71"/>
      <c r="E8" s="27"/>
      <c r="F8" s="26"/>
      <c r="G8" s="27"/>
      <c r="H8" s="26"/>
      <c r="I8" s="27"/>
      <c r="J8" s="26"/>
      <c r="K8" s="27"/>
    </row>
    <row r="9" spans="1:13" s="59" customFormat="1" x14ac:dyDescent="0.2">
      <c r="A9" s="28" t="s">
        <v>301</v>
      </c>
      <c r="B9" s="54"/>
      <c r="C9" s="54"/>
      <c r="D9" s="29"/>
      <c r="E9" s="27"/>
      <c r="J9" s="869" t="s">
        <v>425</v>
      </c>
      <c r="K9" s="869"/>
      <c r="L9" s="869" t="s">
        <v>426</v>
      </c>
      <c r="M9" s="869"/>
    </row>
    <row r="10" spans="1:13" s="59" customFormat="1" ht="70.5" customHeight="1" thickBot="1" x14ac:dyDescent="0.25">
      <c r="A10" s="33"/>
      <c r="B10" s="33"/>
      <c r="C10" s="33"/>
      <c r="D10" s="25"/>
      <c r="E10" s="27"/>
      <c r="J10" s="869"/>
      <c r="K10" s="869"/>
      <c r="L10" s="869"/>
      <c r="M10" s="869"/>
    </row>
    <row r="11" spans="1:13" s="59" customFormat="1" ht="42" customHeight="1" thickBot="1" x14ac:dyDescent="0.25">
      <c r="A11" s="821" t="s">
        <v>138</v>
      </c>
      <c r="B11" s="857"/>
      <c r="C11" s="857"/>
      <c r="D11" s="857"/>
      <c r="E11" s="823"/>
      <c r="F11" s="858" t="s">
        <v>417</v>
      </c>
      <c r="G11" s="859"/>
      <c r="H11" s="860" t="s">
        <v>415</v>
      </c>
      <c r="I11" s="861"/>
      <c r="J11" s="817" t="s">
        <v>403</v>
      </c>
      <c r="K11" s="814"/>
      <c r="L11" s="814" t="s">
        <v>404</v>
      </c>
      <c r="M11" s="814"/>
    </row>
    <row r="12" spans="1:13" s="59" customFormat="1" ht="15.75" customHeight="1" x14ac:dyDescent="0.2">
      <c r="A12" s="636" t="s">
        <v>1</v>
      </c>
      <c r="B12" s="637" t="s">
        <v>134</v>
      </c>
      <c r="C12" s="637"/>
      <c r="D12" s="632"/>
      <c r="E12" s="426"/>
      <c r="F12" s="813">
        <f>DADOS!C4</f>
        <v>42788</v>
      </c>
      <c r="G12" s="815"/>
      <c r="H12" s="813">
        <v>43158</v>
      </c>
      <c r="I12" s="815"/>
      <c r="J12" s="813">
        <v>42788</v>
      </c>
      <c r="K12" s="815"/>
      <c r="L12" s="813">
        <v>43158</v>
      </c>
      <c r="M12" s="815"/>
    </row>
    <row r="13" spans="1:13" s="59" customFormat="1" ht="15.75" customHeight="1" x14ac:dyDescent="0.2">
      <c r="A13" s="636" t="s">
        <v>2</v>
      </c>
      <c r="B13" s="632" t="s">
        <v>3</v>
      </c>
      <c r="C13" s="632"/>
      <c r="D13" s="632"/>
      <c r="E13" s="426"/>
      <c r="F13" s="813" t="str">
        <f>DADOS!C5</f>
        <v>Brasília - DF</v>
      </c>
      <c r="G13" s="815"/>
      <c r="H13" s="813" t="str">
        <f>DADOS!C5</f>
        <v>Brasília - DF</v>
      </c>
      <c r="I13" s="815"/>
      <c r="J13" s="830" t="str">
        <f>DADOS!C5</f>
        <v>Brasília - DF</v>
      </c>
      <c r="K13" s="842"/>
      <c r="L13" s="813" t="s">
        <v>44</v>
      </c>
      <c r="M13" s="815"/>
    </row>
    <row r="14" spans="1:13" s="59" customFormat="1" ht="15" customHeight="1" x14ac:dyDescent="0.2">
      <c r="A14" s="836" t="s">
        <v>4</v>
      </c>
      <c r="B14" s="837" t="s">
        <v>133</v>
      </c>
      <c r="C14" s="837"/>
      <c r="D14" s="837"/>
      <c r="E14" s="837"/>
      <c r="F14" s="815" t="str">
        <f>DADOS!H82</f>
        <v>SINDESV/SINDESP-DF</v>
      </c>
      <c r="G14" s="815"/>
      <c r="H14" s="815" t="s">
        <v>69</v>
      </c>
      <c r="I14" s="815"/>
      <c r="J14" s="864" t="s">
        <v>69</v>
      </c>
      <c r="K14" s="843"/>
      <c r="L14" s="815" t="s">
        <v>69</v>
      </c>
      <c r="M14" s="815"/>
    </row>
    <row r="15" spans="1:13" s="59" customFormat="1" ht="15" customHeight="1" x14ac:dyDescent="0.2">
      <c r="A15" s="836"/>
      <c r="B15" s="837"/>
      <c r="C15" s="837"/>
      <c r="D15" s="837"/>
      <c r="E15" s="837"/>
      <c r="F15" s="815" t="str">
        <f>DADOS!C11</f>
        <v>2016/2016</v>
      </c>
      <c r="G15" s="815"/>
      <c r="H15" s="816" t="s">
        <v>398</v>
      </c>
      <c r="I15" s="816"/>
      <c r="J15" s="816" t="s">
        <v>398</v>
      </c>
      <c r="K15" s="844"/>
      <c r="L15" s="816" t="s">
        <v>398</v>
      </c>
      <c r="M15" s="816"/>
    </row>
    <row r="16" spans="1:13" s="59" customFormat="1" ht="15" customHeight="1" x14ac:dyDescent="0.2">
      <c r="A16" s="636" t="s">
        <v>5</v>
      </c>
      <c r="B16" s="637" t="s">
        <v>135</v>
      </c>
      <c r="C16" s="637"/>
      <c r="D16" s="632"/>
      <c r="E16" s="426"/>
      <c r="F16" s="815">
        <f>DADOS!C13</f>
        <v>12</v>
      </c>
      <c r="G16" s="815"/>
      <c r="H16" s="815">
        <f>DADOS!C13</f>
        <v>12</v>
      </c>
      <c r="I16" s="815"/>
      <c r="J16" s="864">
        <f>DADOS!C13</f>
        <v>12</v>
      </c>
      <c r="K16" s="843"/>
      <c r="L16" s="815">
        <v>12</v>
      </c>
      <c r="M16" s="815"/>
    </row>
    <row r="17" spans="1:13" s="59" customFormat="1" ht="16.5" customHeight="1" x14ac:dyDescent="0.2">
      <c r="A17" s="822" t="s">
        <v>117</v>
      </c>
      <c r="B17" s="822"/>
      <c r="C17" s="822"/>
      <c r="D17" s="822"/>
      <c r="E17" s="822"/>
      <c r="F17" s="822"/>
      <c r="G17" s="822"/>
      <c r="H17" s="640"/>
      <c r="I17" s="640"/>
      <c r="J17" s="640"/>
      <c r="K17" s="640"/>
      <c r="L17" s="640"/>
      <c r="M17" s="640"/>
    </row>
    <row r="18" spans="1:13" s="59" customFormat="1" ht="34.5" customHeight="1" x14ac:dyDescent="0.2">
      <c r="A18" s="431">
        <v>1</v>
      </c>
      <c r="B18" s="822" t="s">
        <v>101</v>
      </c>
      <c r="C18" s="822"/>
      <c r="D18" s="822"/>
      <c r="E18" s="634" t="s">
        <v>132</v>
      </c>
      <c r="F18" s="634" t="s">
        <v>95</v>
      </c>
      <c r="G18" s="634" t="s">
        <v>137</v>
      </c>
      <c r="H18" s="634" t="s">
        <v>95</v>
      </c>
      <c r="I18" s="634" t="s">
        <v>137</v>
      </c>
      <c r="J18" s="634" t="s">
        <v>95</v>
      </c>
      <c r="K18" s="634" t="s">
        <v>137</v>
      </c>
      <c r="L18" s="634" t="s">
        <v>95</v>
      </c>
      <c r="M18" s="634" t="s">
        <v>137</v>
      </c>
    </row>
    <row r="19" spans="1:13" s="59" customFormat="1" ht="28.5" customHeight="1" x14ac:dyDescent="0.2">
      <c r="A19" s="474" t="s">
        <v>360</v>
      </c>
      <c r="B19" s="822" t="s">
        <v>361</v>
      </c>
      <c r="C19" s="822"/>
      <c r="D19" s="822"/>
      <c r="E19" s="634" t="str">
        <f>DADOS!C12</f>
        <v>Posto de Serviço</v>
      </c>
      <c r="F19" s="433">
        <f>DADOS!J74</f>
        <v>6</v>
      </c>
      <c r="G19" s="433">
        <f>DADOS!L74</f>
        <v>12</v>
      </c>
      <c r="H19" s="433">
        <f>DADOS!J74</f>
        <v>6</v>
      </c>
      <c r="I19" s="433">
        <f>DADOS!L74</f>
        <v>12</v>
      </c>
      <c r="J19" s="433">
        <f>DADOS!J74</f>
        <v>6</v>
      </c>
      <c r="K19" s="433">
        <f>DADOS!L74</f>
        <v>12</v>
      </c>
      <c r="L19" s="433">
        <v>6</v>
      </c>
      <c r="M19" s="433">
        <v>12</v>
      </c>
    </row>
    <row r="20" spans="1:13" s="59" customFormat="1" ht="14.25" customHeight="1" x14ac:dyDescent="0.2">
      <c r="A20" s="636"/>
      <c r="B20" s="636"/>
      <c r="C20" s="636"/>
      <c r="D20" s="636"/>
      <c r="E20" s="636"/>
      <c r="F20" s="636">
        <v>1</v>
      </c>
      <c r="G20" s="636"/>
      <c r="H20" s="636">
        <v>1</v>
      </c>
      <c r="I20" s="636"/>
      <c r="J20" s="636">
        <v>1</v>
      </c>
      <c r="K20" s="636"/>
      <c r="L20" s="636">
        <v>1</v>
      </c>
      <c r="M20" s="636"/>
    </row>
    <row r="21" spans="1:13" s="59" customFormat="1" ht="14.25" customHeight="1" x14ac:dyDescent="0.2">
      <c r="A21" s="832" t="s">
        <v>309</v>
      </c>
      <c r="B21" s="832"/>
      <c r="C21" s="832"/>
      <c r="D21" s="832"/>
      <c r="E21" s="832"/>
      <c r="F21" s="832"/>
      <c r="G21" s="832"/>
      <c r="H21" s="639"/>
      <c r="I21" s="639"/>
      <c r="J21" s="639"/>
      <c r="K21" s="639"/>
      <c r="L21" s="639"/>
      <c r="M21" s="639"/>
    </row>
    <row r="22" spans="1:13" s="59" customFormat="1" ht="14.25" customHeight="1" x14ac:dyDescent="0.2">
      <c r="A22" s="820" t="s">
        <v>118</v>
      </c>
      <c r="B22" s="820"/>
      <c r="C22" s="820"/>
      <c r="D22" s="820"/>
      <c r="E22" s="820"/>
      <c r="F22" s="820"/>
      <c r="G22" s="820"/>
      <c r="H22" s="633"/>
      <c r="I22" s="633"/>
      <c r="J22" s="633"/>
      <c r="K22" s="633"/>
      <c r="L22" s="633"/>
      <c r="M22" s="633"/>
    </row>
    <row r="23" spans="1:13" s="59" customFormat="1" ht="15" customHeight="1" x14ac:dyDescent="0.2">
      <c r="A23" s="820" t="s">
        <v>182</v>
      </c>
      <c r="B23" s="820"/>
      <c r="C23" s="820"/>
      <c r="D23" s="820"/>
      <c r="E23" s="820"/>
      <c r="F23" s="820"/>
      <c r="G23" s="820"/>
      <c r="H23" s="633"/>
      <c r="I23" s="633"/>
      <c r="J23" s="633"/>
      <c r="K23" s="633"/>
      <c r="L23" s="633"/>
      <c r="M23" s="633"/>
    </row>
    <row r="24" spans="1:13" s="59" customFormat="1" ht="33" customHeight="1" x14ac:dyDescent="0.2">
      <c r="A24" s="636">
        <v>1</v>
      </c>
      <c r="B24" s="824" t="s">
        <v>101</v>
      </c>
      <c r="C24" s="824"/>
      <c r="D24" s="824"/>
      <c r="E24" s="824"/>
      <c r="F24" s="820" t="str">
        <f>B19</f>
        <v>Vigilante Diurno Desarmado - 12x36hs</v>
      </c>
      <c r="G24" s="820"/>
      <c r="H24" s="820" t="str">
        <f>B19</f>
        <v>Vigilante Diurno Desarmado - 12x36hs</v>
      </c>
      <c r="I24" s="820"/>
      <c r="J24" s="821" t="str">
        <f>B19</f>
        <v>Vigilante Diurno Desarmado - 12x36hs</v>
      </c>
      <c r="K24" s="823"/>
      <c r="L24" s="820" t="s">
        <v>361</v>
      </c>
      <c r="M24" s="820"/>
    </row>
    <row r="25" spans="1:13" s="59" customFormat="1" ht="16.5" customHeight="1" x14ac:dyDescent="0.2">
      <c r="A25" s="636">
        <v>2</v>
      </c>
      <c r="B25" s="824" t="s">
        <v>102</v>
      </c>
      <c r="C25" s="824"/>
      <c r="D25" s="824"/>
      <c r="E25" s="824"/>
      <c r="F25" s="868">
        <f>DADOS!M74</f>
        <v>1888.29</v>
      </c>
      <c r="G25" s="868"/>
      <c r="H25" s="825">
        <v>1888.29</v>
      </c>
      <c r="I25" s="825"/>
      <c r="J25" s="865">
        <v>2012.54</v>
      </c>
      <c r="K25" s="866"/>
      <c r="L25" s="865">
        <v>2012.54</v>
      </c>
      <c r="M25" s="865"/>
    </row>
    <row r="26" spans="1:13" s="59" customFormat="1" ht="60" customHeight="1" x14ac:dyDescent="0.2">
      <c r="A26" s="636">
        <v>3</v>
      </c>
      <c r="B26" s="824" t="s">
        <v>10</v>
      </c>
      <c r="C26" s="824"/>
      <c r="D26" s="824"/>
      <c r="E26" s="824"/>
      <c r="F26" s="812" t="str">
        <f>DADOS!H74</f>
        <v>Vigilante Diurno Desarmado - 12 horas de segunda-feira a domingo, envolvendo 2 (dois) vigilantes em turnos de 12x36hs</v>
      </c>
      <c r="G26" s="812"/>
      <c r="H26" s="812" t="str">
        <f>DADOS!H74</f>
        <v>Vigilante Diurno Desarmado - 12 horas de segunda-feira a domingo, envolvendo 2 (dois) vigilantes em turnos de 12x36hs</v>
      </c>
      <c r="I26" s="812"/>
      <c r="J26" s="829" t="str">
        <f>DADOS!H74</f>
        <v>Vigilante Diurno Desarmado - 12 horas de segunda-feira a domingo, envolvendo 2 (dois) vigilantes em turnos de 12x36hs</v>
      </c>
      <c r="K26" s="846"/>
      <c r="L26" s="812" t="s">
        <v>235</v>
      </c>
      <c r="M26" s="812"/>
    </row>
    <row r="27" spans="1:13" s="59" customFormat="1" ht="16.5" customHeight="1" x14ac:dyDescent="0.2">
      <c r="A27" s="636">
        <v>4</v>
      </c>
      <c r="B27" s="824" t="s">
        <v>11</v>
      </c>
      <c r="C27" s="824"/>
      <c r="D27" s="824"/>
      <c r="E27" s="824"/>
      <c r="F27" s="813" t="str">
        <f>DADOS!M82</f>
        <v>1º de Janeiro</v>
      </c>
      <c r="G27" s="813"/>
      <c r="H27" s="813" t="str">
        <f>DADOS!M82</f>
        <v>1º de Janeiro</v>
      </c>
      <c r="I27" s="813"/>
      <c r="J27" s="830" t="str">
        <f>DADOS!M82</f>
        <v>1º de Janeiro</v>
      </c>
      <c r="K27" s="842"/>
      <c r="L27" s="830" t="s">
        <v>311</v>
      </c>
      <c r="M27" s="842"/>
    </row>
    <row r="28" spans="1:13" s="59" customFormat="1" x14ac:dyDescent="0.2">
      <c r="A28" s="429"/>
      <c r="B28" s="429"/>
      <c r="C28" s="429"/>
      <c r="D28" s="429"/>
      <c r="E28" s="429"/>
      <c r="F28" s="429"/>
      <c r="G28" s="636"/>
      <c r="H28" s="429"/>
      <c r="I28" s="636"/>
      <c r="J28" s="429"/>
      <c r="K28" s="636"/>
      <c r="L28" s="429"/>
      <c r="M28" s="636"/>
    </row>
    <row r="29" spans="1:13" s="60" customFormat="1" x14ac:dyDescent="0.2">
      <c r="A29" s="820" t="s">
        <v>36</v>
      </c>
      <c r="B29" s="820"/>
      <c r="C29" s="820"/>
      <c r="D29" s="820"/>
      <c r="E29" s="820"/>
      <c r="F29" s="820"/>
      <c r="G29" s="820"/>
      <c r="H29" s="633"/>
      <c r="I29" s="633"/>
      <c r="J29" s="633"/>
      <c r="K29" s="633"/>
      <c r="L29" s="633"/>
      <c r="M29" s="633"/>
    </row>
    <row r="30" spans="1:13" s="59" customFormat="1" ht="18" customHeight="1" x14ac:dyDescent="0.2">
      <c r="A30" s="639">
        <v>1</v>
      </c>
      <c r="B30" s="831" t="s">
        <v>104</v>
      </c>
      <c r="C30" s="831"/>
      <c r="D30" s="831"/>
      <c r="E30" s="831"/>
      <c r="F30" s="639" t="s">
        <v>13</v>
      </c>
      <c r="G30" s="639" t="s">
        <v>141</v>
      </c>
      <c r="H30" s="639" t="s">
        <v>13</v>
      </c>
      <c r="I30" s="639" t="s">
        <v>141</v>
      </c>
      <c r="J30" s="639" t="s">
        <v>13</v>
      </c>
      <c r="K30" s="639" t="s">
        <v>141</v>
      </c>
      <c r="L30" s="639" t="s">
        <v>13</v>
      </c>
      <c r="M30" s="639" t="s">
        <v>141</v>
      </c>
    </row>
    <row r="31" spans="1:13" s="59" customFormat="1" x14ac:dyDescent="0.2">
      <c r="A31" s="438" t="s">
        <v>1</v>
      </c>
      <c r="B31" s="637" t="s">
        <v>181</v>
      </c>
      <c r="C31" s="637"/>
      <c r="D31" s="637"/>
      <c r="E31" s="637"/>
      <c r="F31" s="439"/>
      <c r="G31" s="440">
        <f>$F$25*F20</f>
        <v>1888.29</v>
      </c>
      <c r="H31" s="439"/>
      <c r="I31" s="440">
        <f>$H$25*H20</f>
        <v>1888.29</v>
      </c>
      <c r="J31" s="439"/>
      <c r="K31" s="440">
        <f>J25</f>
        <v>2012.54</v>
      </c>
      <c r="L31" s="439"/>
      <c r="M31" s="440">
        <f>$L$25</f>
        <v>2012.54</v>
      </c>
    </row>
    <row r="32" spans="1:13" s="59" customFormat="1" ht="14.25" hidden="1" customHeight="1" x14ac:dyDescent="0.2">
      <c r="A32" s="438" t="s">
        <v>2</v>
      </c>
      <c r="B32" s="637" t="str">
        <f>DADOS!A26</f>
        <v>Adicional Motorizado - Cláusula 3ª, alínea "f" da CCT</v>
      </c>
      <c r="C32" s="637"/>
      <c r="D32" s="637"/>
      <c r="E32" s="637"/>
      <c r="F32" s="439">
        <v>0</v>
      </c>
      <c r="G32" s="441"/>
      <c r="H32" s="439">
        <f>DADOS!F26</f>
        <v>0</v>
      </c>
      <c r="I32" s="441"/>
      <c r="J32" s="439">
        <f>DADOS!H26</f>
        <v>0</v>
      </c>
      <c r="K32" s="441"/>
      <c r="L32" s="439">
        <f>DADOS!J26</f>
        <v>0</v>
      </c>
      <c r="M32" s="441"/>
    </row>
    <row r="33" spans="1:14" s="59" customFormat="1" ht="31.5" customHeight="1" x14ac:dyDescent="0.2">
      <c r="A33" s="438" t="s">
        <v>2</v>
      </c>
      <c r="B33" s="819" t="str">
        <f>DADOS!A25</f>
        <v>Adicional de Periculosidade/Risco de Vida - (Lei nº 12.740/2012 e Cláusula 3ª § 4º da CCT/2016)</v>
      </c>
      <c r="C33" s="819"/>
      <c r="D33" s="819"/>
      <c r="E33" s="819"/>
      <c r="F33" s="439">
        <f>DADOS!D25</f>
        <v>0.3</v>
      </c>
      <c r="G33" s="443">
        <f>(G31+G32)*F33</f>
        <v>566.49</v>
      </c>
      <c r="H33" s="439">
        <f>DADOS!D25</f>
        <v>0.3</v>
      </c>
      <c r="I33" s="443">
        <f>(I31+I32)*H33</f>
        <v>566.49</v>
      </c>
      <c r="J33" s="439">
        <f>DADOS!D25</f>
        <v>0.3</v>
      </c>
      <c r="K33" s="443">
        <f>(K31+K32)*J33</f>
        <v>603.76</v>
      </c>
      <c r="L33" s="439">
        <v>0.3</v>
      </c>
      <c r="M33" s="443">
        <f>(M31)*L33</f>
        <v>603.76</v>
      </c>
    </row>
    <row r="34" spans="1:14" s="59" customFormat="1" x14ac:dyDescent="0.2">
      <c r="A34" s="438" t="s">
        <v>4</v>
      </c>
      <c r="B34" s="632" t="s">
        <v>312</v>
      </c>
      <c r="C34" s="632"/>
      <c r="D34" s="632"/>
      <c r="E34" s="632"/>
      <c r="F34" s="439"/>
      <c r="G34" s="443"/>
      <c r="H34" s="439"/>
      <c r="I34" s="443"/>
      <c r="J34" s="439"/>
      <c r="K34" s="443"/>
      <c r="L34" s="439"/>
      <c r="M34" s="443"/>
    </row>
    <row r="35" spans="1:14" s="59" customFormat="1" x14ac:dyDescent="0.2">
      <c r="A35" s="438" t="s">
        <v>5</v>
      </c>
      <c r="B35" s="637" t="str">
        <f>DADOS!A24</f>
        <v>Adicional Noturno - Cláusula 49ª da CCT/2016</v>
      </c>
      <c r="C35" s="637"/>
      <c r="D35" s="637"/>
      <c r="E35" s="637"/>
      <c r="F35" s="439"/>
      <c r="G35" s="443"/>
      <c r="H35" s="439"/>
      <c r="I35" s="443"/>
      <c r="J35" s="439"/>
      <c r="K35" s="443"/>
      <c r="L35" s="439"/>
      <c r="M35" s="443"/>
    </row>
    <row r="36" spans="1:14" s="59" customFormat="1" x14ac:dyDescent="0.2">
      <c r="A36" s="438" t="s">
        <v>6</v>
      </c>
      <c r="B36" s="637" t="s">
        <v>24</v>
      </c>
      <c r="C36" s="637"/>
      <c r="D36" s="637"/>
      <c r="E36" s="637"/>
      <c r="F36" s="439"/>
      <c r="G36" s="443"/>
      <c r="H36" s="439"/>
      <c r="I36" s="443"/>
      <c r="J36" s="439"/>
      <c r="K36" s="443"/>
      <c r="L36" s="439"/>
      <c r="M36" s="443"/>
    </row>
    <row r="37" spans="1:14" s="59" customFormat="1" x14ac:dyDescent="0.2">
      <c r="A37" s="438" t="s">
        <v>7</v>
      </c>
      <c r="B37" s="637" t="s">
        <v>105</v>
      </c>
      <c r="C37" s="637"/>
      <c r="D37" s="637"/>
      <c r="E37" s="637"/>
      <c r="F37" s="439"/>
      <c r="G37" s="443"/>
      <c r="H37" s="439"/>
      <c r="I37" s="443"/>
      <c r="J37" s="439"/>
      <c r="K37" s="443"/>
      <c r="L37" s="439"/>
      <c r="M37" s="443"/>
    </row>
    <row r="38" spans="1:14" s="59" customFormat="1" ht="25.5" customHeight="1" x14ac:dyDescent="0.2">
      <c r="A38" s="438" t="s">
        <v>8</v>
      </c>
      <c r="B38" s="819" t="str">
        <f>DADOS!A28</f>
        <v xml:space="preserve">Intervalo Intrajornada - {[(Salário Base + Adicionais) ÷ 220] x 1,50 (hora extra acrescida de 50%) x 15,5 dias) </v>
      </c>
      <c r="C38" s="819"/>
      <c r="D38" s="819"/>
      <c r="E38" s="819"/>
      <c r="F38" s="651">
        <f>DADOS!D27</f>
        <v>1.5</v>
      </c>
      <c r="G38" s="443">
        <f>(((G31+G33+G35)/220)*1.5)*DADOS!L23</f>
        <v>259.43</v>
      </c>
      <c r="H38" s="651">
        <f>DADOS!D27</f>
        <v>1.5</v>
      </c>
      <c r="I38" s="443">
        <f>(((I31+I33+I35)/220)*1.5)*15.5</f>
        <v>259.43</v>
      </c>
      <c r="J38" s="651"/>
      <c r="K38" s="443">
        <f>(((K31+K33+K35)/220)*1.5)*15.5</f>
        <v>276.5</v>
      </c>
      <c r="L38" s="651"/>
      <c r="M38" s="443">
        <f>(((M31+M33+M35)/220)*1.5)*15.5</f>
        <v>276.5</v>
      </c>
    </row>
    <row r="39" spans="1:14" s="59" customFormat="1" ht="45.75" customHeight="1" x14ac:dyDescent="0.2">
      <c r="A39" s="438" t="s">
        <v>9</v>
      </c>
      <c r="B39" s="819" t="s">
        <v>315</v>
      </c>
      <c r="C39" s="819"/>
      <c r="D39" s="819"/>
      <c r="E39" s="819"/>
      <c r="F39" s="439"/>
      <c r="G39" s="443">
        <v>61.67</v>
      </c>
      <c r="H39" s="439"/>
      <c r="I39" s="443">
        <v>61.67</v>
      </c>
      <c r="J39" s="439"/>
      <c r="K39" s="653"/>
      <c r="L39" s="439"/>
      <c r="M39" s="654"/>
      <c r="N39" s="69"/>
    </row>
    <row r="40" spans="1:14" s="59" customFormat="1" ht="18.75" customHeight="1" x14ac:dyDescent="0.2">
      <c r="A40" s="446"/>
      <c r="B40" s="834" t="s">
        <v>139</v>
      </c>
      <c r="C40" s="834"/>
      <c r="D40" s="834"/>
      <c r="E40" s="834"/>
      <c r="F40" s="834"/>
      <c r="G40" s="475">
        <f>SUM(G31:G39)</f>
        <v>2775.88</v>
      </c>
      <c r="H40" s="447"/>
      <c r="I40" s="447">
        <f>SUM(I31:I39)</f>
        <v>2775.88</v>
      </c>
      <c r="J40" s="447"/>
      <c r="K40" s="447">
        <f>SUM(K31:K39)</f>
        <v>2892.8</v>
      </c>
      <c r="L40" s="447"/>
      <c r="M40" s="447">
        <f>SUM(M31:M39)</f>
        <v>2892.8</v>
      </c>
    </row>
    <row r="41" spans="1:14" s="64" customFormat="1" x14ac:dyDescent="0.2">
      <c r="A41" s="636"/>
      <c r="B41" s="632"/>
      <c r="C41" s="632"/>
      <c r="D41" s="632"/>
      <c r="E41" s="632"/>
      <c r="F41" s="448"/>
      <c r="G41" s="449"/>
      <c r="H41" s="448"/>
      <c r="I41" s="449"/>
      <c r="J41" s="448"/>
      <c r="K41" s="449"/>
      <c r="L41" s="448"/>
      <c r="M41" s="449"/>
    </row>
    <row r="42" spans="1:14" s="59" customFormat="1" ht="15" customHeight="1" x14ac:dyDescent="0.2">
      <c r="A42" s="820" t="s">
        <v>37</v>
      </c>
      <c r="B42" s="820"/>
      <c r="C42" s="820"/>
      <c r="D42" s="820"/>
      <c r="E42" s="820"/>
      <c r="F42" s="820"/>
      <c r="G42" s="820"/>
      <c r="H42" s="633"/>
      <c r="I42" s="633"/>
      <c r="J42" s="633"/>
      <c r="K42" s="633"/>
      <c r="L42" s="633"/>
      <c r="M42" s="633"/>
    </row>
    <row r="43" spans="1:14" s="59" customFormat="1" ht="18" customHeight="1" x14ac:dyDescent="0.2">
      <c r="A43" s="633">
        <v>2</v>
      </c>
      <c r="B43" s="835" t="s">
        <v>25</v>
      </c>
      <c r="C43" s="835"/>
      <c r="D43" s="835"/>
      <c r="E43" s="835"/>
      <c r="F43" s="639" t="s">
        <v>13</v>
      </c>
      <c r="G43" s="639" t="s">
        <v>141</v>
      </c>
      <c r="H43" s="639" t="s">
        <v>13</v>
      </c>
      <c r="I43" s="639" t="s">
        <v>141</v>
      </c>
      <c r="J43" s="639" t="s">
        <v>13</v>
      </c>
      <c r="K43" s="639" t="s">
        <v>141</v>
      </c>
      <c r="L43" s="639" t="s">
        <v>13</v>
      </c>
      <c r="M43" s="639" t="s">
        <v>141</v>
      </c>
    </row>
    <row r="44" spans="1:14" s="59" customFormat="1" x14ac:dyDescent="0.2">
      <c r="A44" s="836" t="s">
        <v>1</v>
      </c>
      <c r="B44" s="637" t="str">
        <f>DADOS!A34</f>
        <v>Transporte [(R$ 5,00) x 2] x 15,5 dias - Cláusula 13ª da CCT/2016</v>
      </c>
      <c r="C44" s="637"/>
      <c r="D44" s="632"/>
      <c r="E44" s="632"/>
      <c r="F44" s="467">
        <f>DADOS!F33</f>
        <v>10</v>
      </c>
      <c r="G44" s="451">
        <f>(F44*DADOS!L23*$F$20)</f>
        <v>155</v>
      </c>
      <c r="H44" s="467">
        <f>DADOS!H33</f>
        <v>0</v>
      </c>
      <c r="I44" s="451">
        <f>(F44*DADOS!L23*$F$20)</f>
        <v>155</v>
      </c>
      <c r="J44" s="467">
        <f>DADOS!J33</f>
        <v>0</v>
      </c>
      <c r="K44" s="451">
        <f>(5*2*15.5)</f>
        <v>155</v>
      </c>
      <c r="L44" s="467"/>
      <c r="M44" s="451">
        <f>(5*2*15.5)</f>
        <v>155</v>
      </c>
    </row>
    <row r="45" spans="1:14" s="59" customFormat="1" x14ac:dyDescent="0.2">
      <c r="A45" s="836"/>
      <c r="B45" s="637" t="s">
        <v>106</v>
      </c>
      <c r="C45" s="637"/>
      <c r="D45" s="632"/>
      <c r="E45" s="632"/>
      <c r="F45" s="452">
        <f>DADOS!F35</f>
        <v>0.06</v>
      </c>
      <c r="G45" s="453">
        <f>-MIN(G44,(F45*G31))</f>
        <v>-113.3</v>
      </c>
      <c r="H45" s="452">
        <f>DADOS!F35</f>
        <v>0.06</v>
      </c>
      <c r="I45" s="453">
        <f>-MIN(I44,(H45*I31))</f>
        <v>-113.3</v>
      </c>
      <c r="J45" s="452">
        <f>DADOS!F35</f>
        <v>0.06</v>
      </c>
      <c r="K45" s="453">
        <f>-MIN(K44,(J45*K31))</f>
        <v>-120.75</v>
      </c>
      <c r="L45" s="452">
        <v>0.06</v>
      </c>
      <c r="M45" s="453">
        <f>-MIN(M44,(L45*M31))</f>
        <v>-120.75</v>
      </c>
    </row>
    <row r="46" spans="1:14" s="59" customFormat="1" ht="29.25" customHeight="1" x14ac:dyDescent="0.2">
      <c r="A46" s="636" t="s">
        <v>2</v>
      </c>
      <c r="B46" s="819" t="str">
        <f>DADOS!A38</f>
        <v>Auxílio alimentação (Tiquete refeição de R$ 32,00 x 15,5 dias efetivamente trabalhados) - Cláusula 12ª da CCT/2016</v>
      </c>
      <c r="C46" s="819"/>
      <c r="D46" s="819"/>
      <c r="E46" s="819"/>
      <c r="F46" s="467"/>
      <c r="G46" s="451">
        <f>(32*DADOS!L23)*$F$20</f>
        <v>496</v>
      </c>
      <c r="H46" s="467"/>
      <c r="I46" s="454">
        <f>15.5*32</f>
        <v>496</v>
      </c>
      <c r="J46" s="467"/>
      <c r="K46" s="655">
        <f>(34.11*15.5)</f>
        <v>528.71</v>
      </c>
      <c r="L46" s="467"/>
      <c r="M46" s="655">
        <f>15.5*34.11</f>
        <v>528.71</v>
      </c>
    </row>
    <row r="47" spans="1:14" s="59" customFormat="1" ht="28.5" customHeight="1" x14ac:dyDescent="0.2">
      <c r="A47" s="636" t="s">
        <v>4</v>
      </c>
      <c r="B47" s="833" t="str">
        <f>DADOS!A46</f>
        <v>Auxílio Saúde - Cláusula 14ª da CCT/2016 - NÃO SE APLICA CONFORME PARECER Nº 15/2014/CPLC/ DEPCONSU/PGF/AGU</v>
      </c>
      <c r="C47" s="833"/>
      <c r="D47" s="833"/>
      <c r="E47" s="833"/>
      <c r="F47" s="467"/>
      <c r="G47" s="453">
        <f>F47*$F$20</f>
        <v>0</v>
      </c>
      <c r="H47" s="467"/>
      <c r="I47" s="453">
        <f>H47*$F$20</f>
        <v>0</v>
      </c>
      <c r="J47" s="467"/>
      <c r="K47" s="453">
        <f>J47</f>
        <v>0</v>
      </c>
      <c r="L47" s="467"/>
      <c r="M47" s="453"/>
    </row>
    <row r="48" spans="1:14" s="59" customFormat="1" ht="45.75" customHeight="1" x14ac:dyDescent="0.2">
      <c r="A48" s="636" t="s">
        <v>5</v>
      </c>
      <c r="B48" s="833" t="str">
        <f>DADOS!A44</f>
        <v>Fundo Social e Odontológico - Cláusula 18ª da CCT/2016 - NÃO SE APLICA CONFORME PARECER Nº 15/2014/CPLC/ DEPCONSU/PGF/AGU, por entender que integra ao Auxílio Saúde</v>
      </c>
      <c r="C48" s="833"/>
      <c r="D48" s="833"/>
      <c r="E48" s="833"/>
      <c r="F48" s="467"/>
      <c r="G48" s="453">
        <f>F48*$F$20</f>
        <v>0</v>
      </c>
      <c r="H48" s="467"/>
      <c r="I48" s="453">
        <f>H48*$F$20</f>
        <v>0</v>
      </c>
      <c r="J48" s="467"/>
      <c r="K48" s="453"/>
      <c r="L48" s="467"/>
      <c r="M48" s="453">
        <f>L48*$F$20</f>
        <v>0</v>
      </c>
    </row>
    <row r="49" spans="1:13" s="59" customFormat="1" x14ac:dyDescent="0.2">
      <c r="A49" s="636" t="s">
        <v>6</v>
      </c>
      <c r="B49" s="455" t="str">
        <f>DADOS!A39</f>
        <v>Fundo Ind. Aposent. Ou Doença - Cláusula 15ª da CCT/2016</v>
      </c>
      <c r="C49" s="455"/>
      <c r="D49" s="426"/>
      <c r="E49" s="429"/>
      <c r="F49" s="467"/>
      <c r="G49" s="453">
        <v>14</v>
      </c>
      <c r="H49" s="467">
        <f>DADOS!H39</f>
        <v>0</v>
      </c>
      <c r="I49" s="453">
        <f>G49</f>
        <v>14</v>
      </c>
      <c r="J49" s="467">
        <f>DADOS!J39</f>
        <v>0</v>
      </c>
      <c r="K49" s="453">
        <f>G49</f>
        <v>14</v>
      </c>
      <c r="L49" s="467"/>
      <c r="M49" s="453">
        <f>I49</f>
        <v>14</v>
      </c>
    </row>
    <row r="50" spans="1:13" s="59" customFormat="1" x14ac:dyDescent="0.2">
      <c r="A50" s="636" t="s">
        <v>7</v>
      </c>
      <c r="B50" s="455" t="str">
        <f>DADOS!A40</f>
        <v>Seguro de vida, inclusive invalidez - Cláusula 16ª da CCT/2016</v>
      </c>
      <c r="C50" s="455"/>
      <c r="D50" s="426"/>
      <c r="E50" s="429"/>
      <c r="F50" s="467"/>
      <c r="G50" s="453">
        <v>10.25</v>
      </c>
      <c r="H50" s="467">
        <f>DADOS!N41</f>
        <v>0</v>
      </c>
      <c r="I50" s="453">
        <f>G50</f>
        <v>10.25</v>
      </c>
      <c r="J50" s="467">
        <f>DADOS!P41</f>
        <v>0</v>
      </c>
      <c r="K50" s="453">
        <f>G50</f>
        <v>10.25</v>
      </c>
      <c r="L50" s="467"/>
      <c r="M50" s="453">
        <f>I50</f>
        <v>10.25</v>
      </c>
    </row>
    <row r="51" spans="1:13" s="59" customFormat="1" ht="30" customHeight="1" x14ac:dyDescent="0.2">
      <c r="A51" s="636" t="s">
        <v>8</v>
      </c>
      <c r="B51" s="833" t="str">
        <f>DADOS!A41</f>
        <v>Auxílio Funeral (Despesas de sepultamento - R$ 3.560,00 - Cláusula 16ª alínea "d" da CCT/2016</v>
      </c>
      <c r="C51" s="833"/>
      <c r="D51" s="833"/>
      <c r="E51" s="833"/>
      <c r="F51" s="467"/>
      <c r="G51" s="453">
        <v>1.8</v>
      </c>
      <c r="H51" s="467">
        <f>DADOS!H41</f>
        <v>0</v>
      </c>
      <c r="I51" s="453">
        <f>G51</f>
        <v>1.8</v>
      </c>
      <c r="J51" s="467">
        <f>DADOS!J41</f>
        <v>0</v>
      </c>
      <c r="K51" s="453">
        <f>G51</f>
        <v>1.8</v>
      </c>
      <c r="L51" s="467"/>
      <c r="M51" s="453">
        <f>I51</f>
        <v>1.8</v>
      </c>
    </row>
    <row r="52" spans="1:13" s="59" customFormat="1" x14ac:dyDescent="0.2">
      <c r="A52" s="636" t="s">
        <v>9</v>
      </c>
      <c r="B52" s="455" t="str">
        <f>DADOS!A42</f>
        <v>Treinamento/Capacitação/Reciclagem - Cláusula 28ª da CCT/2016</v>
      </c>
      <c r="C52" s="455"/>
      <c r="D52" s="426"/>
      <c r="E52" s="429"/>
      <c r="F52" s="467"/>
      <c r="G52" s="453">
        <v>12.08</v>
      </c>
      <c r="H52" s="467">
        <f>DADOS!H42</f>
        <v>0</v>
      </c>
      <c r="I52" s="453">
        <f>G52</f>
        <v>12.08</v>
      </c>
      <c r="J52" s="467">
        <f>DADOS!J42</f>
        <v>0</v>
      </c>
      <c r="K52" s="453">
        <f>G52</f>
        <v>12.08</v>
      </c>
      <c r="L52" s="467"/>
      <c r="M52" s="453">
        <f>I52</f>
        <v>12.08</v>
      </c>
    </row>
    <row r="53" spans="1:13" s="59" customFormat="1" x14ac:dyDescent="0.2">
      <c r="A53" s="636" t="s">
        <v>145</v>
      </c>
      <c r="B53" s="455" t="s">
        <v>81</v>
      </c>
      <c r="C53" s="455"/>
      <c r="D53" s="426"/>
      <c r="E53" s="429"/>
      <c r="F53" s="448"/>
      <c r="G53" s="449"/>
      <c r="H53" s="448"/>
      <c r="I53" s="449"/>
      <c r="J53" s="448"/>
      <c r="K53" s="449"/>
      <c r="L53" s="448"/>
      <c r="M53" s="449"/>
    </row>
    <row r="54" spans="1:13" s="59" customFormat="1" ht="18" customHeight="1" x14ac:dyDescent="0.2">
      <c r="A54" s="446"/>
      <c r="B54" s="834" t="s">
        <v>140</v>
      </c>
      <c r="C54" s="834"/>
      <c r="D54" s="834"/>
      <c r="E54" s="834"/>
      <c r="F54" s="834"/>
      <c r="G54" s="456">
        <f>SUM(G44:G53)</f>
        <v>575.83000000000004</v>
      </c>
      <c r="H54" s="456"/>
      <c r="I54" s="456">
        <f>SUM(I44:I53)</f>
        <v>575.83000000000004</v>
      </c>
      <c r="J54" s="456"/>
      <c r="K54" s="456">
        <f>SUM(K44:K53)</f>
        <v>601.09</v>
      </c>
      <c r="L54" s="456"/>
      <c r="M54" s="456">
        <f>SUM(M44:M53)</f>
        <v>601.09</v>
      </c>
    </row>
    <row r="55" spans="1:13" s="64" customFormat="1" x14ac:dyDescent="0.2">
      <c r="A55" s="636"/>
      <c r="B55" s="429"/>
      <c r="C55" s="429"/>
      <c r="D55" s="429"/>
      <c r="E55" s="429"/>
      <c r="F55" s="448"/>
      <c r="G55" s="449"/>
      <c r="H55" s="448"/>
      <c r="I55" s="449"/>
      <c r="J55" s="448"/>
      <c r="K55" s="449"/>
      <c r="L55" s="448"/>
      <c r="M55" s="449"/>
    </row>
    <row r="56" spans="1:13" s="59" customFormat="1" x14ac:dyDescent="0.2">
      <c r="A56" s="820" t="s">
        <v>38</v>
      </c>
      <c r="B56" s="820"/>
      <c r="C56" s="820"/>
      <c r="D56" s="820"/>
      <c r="E56" s="820"/>
      <c r="F56" s="820"/>
      <c r="G56" s="820"/>
      <c r="H56" s="633"/>
      <c r="I56" s="633"/>
      <c r="J56" s="633"/>
      <c r="K56" s="633"/>
      <c r="L56" s="633"/>
      <c r="M56" s="633"/>
    </row>
    <row r="57" spans="1:13" s="59" customFormat="1" ht="18" customHeight="1" x14ac:dyDescent="0.2">
      <c r="A57" s="639">
        <v>3</v>
      </c>
      <c r="B57" s="832" t="s">
        <v>107</v>
      </c>
      <c r="C57" s="832"/>
      <c r="D57" s="832"/>
      <c r="E57" s="832"/>
      <c r="F57" s="639" t="s">
        <v>13</v>
      </c>
      <c r="G57" s="639" t="s">
        <v>141</v>
      </c>
      <c r="H57" s="639" t="s">
        <v>13</v>
      </c>
      <c r="I57" s="639" t="s">
        <v>141</v>
      </c>
      <c r="J57" s="639" t="s">
        <v>13</v>
      </c>
      <c r="K57" s="639" t="s">
        <v>141</v>
      </c>
      <c r="L57" s="639" t="s">
        <v>13</v>
      </c>
      <c r="M57" s="639" t="s">
        <v>141</v>
      </c>
    </row>
    <row r="58" spans="1:13" s="59" customFormat="1" ht="15.75" customHeight="1" x14ac:dyDescent="0.2">
      <c r="A58" s="438" t="s">
        <v>1</v>
      </c>
      <c r="B58" s="457" t="str">
        <f>DADOS!A53</f>
        <v>Uniformes</v>
      </c>
      <c r="C58" s="457"/>
      <c r="D58" s="457"/>
      <c r="E58" s="457"/>
      <c r="F58" s="439"/>
      <c r="G58" s="451">
        <f>DADOS!F53*$F$20</f>
        <v>240.13</v>
      </c>
      <c r="H58" s="439"/>
      <c r="I58" s="451">
        <f>DADOS!F53*$F$20</f>
        <v>240.13</v>
      </c>
      <c r="J58" s="439"/>
      <c r="K58" s="451">
        <f>UNIFORMES!G37</f>
        <v>240.13</v>
      </c>
      <c r="L58" s="439"/>
      <c r="M58" s="451">
        <f>UNIFORMES!G52</f>
        <v>240.13</v>
      </c>
    </row>
    <row r="59" spans="1:13" s="59" customFormat="1" ht="15.75" customHeight="1" x14ac:dyDescent="0.2">
      <c r="A59" s="438" t="s">
        <v>2</v>
      </c>
      <c r="B59" s="457" t="str">
        <f>DADOS!A54</f>
        <v>Materiais de Consumo Mensal</v>
      </c>
      <c r="C59" s="457"/>
      <c r="D59" s="457"/>
      <c r="E59" s="457"/>
      <c r="F59" s="439"/>
      <c r="G59" s="451">
        <f>DADOS!F54*$F$20</f>
        <v>8.5299999999999994</v>
      </c>
      <c r="H59" s="439"/>
      <c r="I59" s="451">
        <f>DADOS!F54*$F$20</f>
        <v>8.5299999999999994</v>
      </c>
      <c r="J59" s="439"/>
      <c r="K59" s="451">
        <f>'MAT e EQUIPS'!H19</f>
        <v>8.5299999999999994</v>
      </c>
      <c r="L59" s="439"/>
      <c r="M59" s="655">
        <f>'MAT e EQUIPS'!H45</f>
        <v>7.99</v>
      </c>
    </row>
    <row r="60" spans="1:13" s="59" customFormat="1" ht="15.75" customHeight="1" x14ac:dyDescent="0.2">
      <c r="A60" s="438" t="s">
        <v>4</v>
      </c>
      <c r="B60" s="637" t="str">
        <f>DADOS!A55</f>
        <v>Equipamentos para desenvolvimento das atividades</v>
      </c>
      <c r="C60" s="457"/>
      <c r="D60" s="457"/>
      <c r="E60" s="457"/>
      <c r="F60" s="439"/>
      <c r="G60" s="451">
        <f>DADOS!F55*$F$20</f>
        <v>27.13</v>
      </c>
      <c r="H60" s="439"/>
      <c r="I60" s="451">
        <f>DADOS!F55*$F$20</f>
        <v>27.13</v>
      </c>
      <c r="J60" s="439"/>
      <c r="K60" s="451">
        <f>'MAT e EQUIPS'!H30</f>
        <v>27.13</v>
      </c>
      <c r="L60" s="439"/>
      <c r="M60" s="655">
        <f>'MAT e EQUIPS'!H56</f>
        <v>25.43</v>
      </c>
    </row>
    <row r="61" spans="1:13" s="59" customFormat="1" ht="18" customHeight="1" x14ac:dyDescent="0.2">
      <c r="A61" s="446"/>
      <c r="B61" s="834" t="s">
        <v>142</v>
      </c>
      <c r="C61" s="834"/>
      <c r="D61" s="834"/>
      <c r="E61" s="834"/>
      <c r="F61" s="834"/>
      <c r="G61" s="458">
        <f>SUM(G58:G60)</f>
        <v>275.79000000000002</v>
      </c>
      <c r="H61" s="458"/>
      <c r="I61" s="458">
        <f>SUM(I58:I60)</f>
        <v>275.79000000000002</v>
      </c>
      <c r="J61" s="458"/>
      <c r="K61" s="458">
        <f>SUM(K58:K60)</f>
        <v>275.79000000000002</v>
      </c>
      <c r="L61" s="458"/>
      <c r="M61" s="458">
        <f>SUM(M58:M60)</f>
        <v>273.55</v>
      </c>
    </row>
    <row r="62" spans="1:13" s="64" customFormat="1" x14ac:dyDescent="0.2">
      <c r="A62" s="636"/>
      <c r="B62" s="429"/>
      <c r="C62" s="429"/>
      <c r="D62" s="429"/>
      <c r="E62" s="429"/>
      <c r="F62" s="448"/>
      <c r="G62" s="449"/>
      <c r="H62" s="448"/>
      <c r="I62" s="449"/>
      <c r="J62" s="448"/>
      <c r="K62" s="449"/>
      <c r="L62" s="448"/>
      <c r="M62" s="449"/>
    </row>
    <row r="63" spans="1:13" s="26" customFormat="1" x14ac:dyDescent="0.2">
      <c r="A63" s="832" t="s">
        <v>39</v>
      </c>
      <c r="B63" s="832"/>
      <c r="C63" s="832"/>
      <c r="D63" s="832"/>
      <c r="E63" s="832"/>
      <c r="F63" s="832"/>
      <c r="G63" s="832"/>
      <c r="H63" s="639"/>
      <c r="I63" s="639"/>
      <c r="J63" s="639"/>
      <c r="K63" s="639"/>
      <c r="L63" s="639"/>
      <c r="M63" s="639"/>
    </row>
    <row r="64" spans="1:13" s="26" customFormat="1" x14ac:dyDescent="0.2">
      <c r="A64" s="831" t="s">
        <v>124</v>
      </c>
      <c r="B64" s="831"/>
      <c r="C64" s="831"/>
      <c r="D64" s="831"/>
      <c r="E64" s="831"/>
      <c r="F64" s="831"/>
      <c r="G64" s="831"/>
      <c r="H64" s="638"/>
      <c r="I64" s="638"/>
      <c r="J64" s="638"/>
      <c r="K64" s="638"/>
      <c r="L64" s="638"/>
      <c r="M64" s="638"/>
    </row>
    <row r="65" spans="1:13" s="67" customFormat="1" ht="18" customHeight="1" x14ac:dyDescent="0.2">
      <c r="A65" s="633" t="s">
        <v>63</v>
      </c>
      <c r="B65" s="835" t="s">
        <v>122</v>
      </c>
      <c r="C65" s="835"/>
      <c r="D65" s="835"/>
      <c r="E65" s="835"/>
      <c r="F65" s="633" t="s">
        <v>12</v>
      </c>
      <c r="G65" s="633" t="s">
        <v>103</v>
      </c>
      <c r="H65" s="633" t="s">
        <v>12</v>
      </c>
      <c r="I65" s="633" t="s">
        <v>103</v>
      </c>
      <c r="J65" s="633" t="s">
        <v>12</v>
      </c>
      <c r="K65" s="633" t="s">
        <v>103</v>
      </c>
      <c r="L65" s="633" t="s">
        <v>12</v>
      </c>
      <c r="M65" s="633" t="s">
        <v>103</v>
      </c>
    </row>
    <row r="66" spans="1:13" s="59" customFormat="1" ht="14.25" customHeight="1" x14ac:dyDescent="0.2">
      <c r="A66" s="636" t="s">
        <v>1</v>
      </c>
      <c r="B66" s="460" t="str">
        <f>DADOS!B81</f>
        <v>INSS</v>
      </c>
      <c r="C66" s="460"/>
      <c r="D66" s="429"/>
      <c r="E66" s="429"/>
      <c r="F66" s="461">
        <f>DADOS!C81</f>
        <v>0.2</v>
      </c>
      <c r="G66" s="449">
        <f>F66*$G$40</f>
        <v>555.17999999999995</v>
      </c>
      <c r="H66" s="461">
        <f>DADOS!C81</f>
        <v>0.2</v>
      </c>
      <c r="I66" s="449">
        <f>F66*$I$40</f>
        <v>555.17999999999995</v>
      </c>
      <c r="J66" s="461">
        <f>DADOS!C81</f>
        <v>0.2</v>
      </c>
      <c r="K66" s="449">
        <f>J66*$K$40</f>
        <v>578.55999999999995</v>
      </c>
      <c r="L66" s="461">
        <f>H66</f>
        <v>0.2</v>
      </c>
      <c r="M66" s="449">
        <f>L66*$M$40</f>
        <v>578.55999999999995</v>
      </c>
    </row>
    <row r="67" spans="1:13" s="59" customFormat="1" ht="14.25" customHeight="1" x14ac:dyDescent="0.2">
      <c r="A67" s="636" t="s">
        <v>2</v>
      </c>
      <c r="B67" s="460" t="str">
        <f>DADOS!B82</f>
        <v>SESI ou SESC</v>
      </c>
      <c r="C67" s="460"/>
      <c r="D67" s="429"/>
      <c r="E67" s="429"/>
      <c r="F67" s="461">
        <f>DADOS!C82</f>
        <v>1.4999999999999999E-2</v>
      </c>
      <c r="G67" s="449">
        <f t="shared" ref="G67:G73" si="0">F67*$G$40</f>
        <v>41.64</v>
      </c>
      <c r="H67" s="461">
        <f>DADOS!C82</f>
        <v>1.4999999999999999E-2</v>
      </c>
      <c r="I67" s="449">
        <f t="shared" ref="I67:I73" si="1">F67*$I$40</f>
        <v>41.64</v>
      </c>
      <c r="J67" s="461">
        <f>DADOS!C82</f>
        <v>1.4999999999999999E-2</v>
      </c>
      <c r="K67" s="449">
        <f t="shared" ref="K67:K73" si="2">J67*$K$40</f>
        <v>43.39</v>
      </c>
      <c r="L67" s="461">
        <f t="shared" ref="L67:L73" si="3">H67</f>
        <v>1.4999999999999999E-2</v>
      </c>
      <c r="M67" s="449">
        <f t="shared" ref="M67:M73" si="4">L67*$M$40</f>
        <v>43.39</v>
      </c>
    </row>
    <row r="68" spans="1:13" s="59" customFormat="1" ht="14.25" customHeight="1" x14ac:dyDescent="0.2">
      <c r="A68" s="636" t="s">
        <v>4</v>
      </c>
      <c r="B68" s="460" t="str">
        <f>DADOS!B83</f>
        <v>SENAI ou SENAC</v>
      </c>
      <c r="C68" s="460"/>
      <c r="D68" s="429"/>
      <c r="E68" s="429"/>
      <c r="F68" s="461">
        <f>DADOS!C83</f>
        <v>0.01</v>
      </c>
      <c r="G68" s="449">
        <f t="shared" si="0"/>
        <v>27.76</v>
      </c>
      <c r="H68" s="461">
        <f>DADOS!C83</f>
        <v>0.01</v>
      </c>
      <c r="I68" s="449">
        <f t="shared" si="1"/>
        <v>27.76</v>
      </c>
      <c r="J68" s="461">
        <f>DADOS!C83</f>
        <v>0.01</v>
      </c>
      <c r="K68" s="449">
        <f t="shared" si="2"/>
        <v>28.93</v>
      </c>
      <c r="L68" s="461">
        <f t="shared" si="3"/>
        <v>0.01</v>
      </c>
      <c r="M68" s="449">
        <f t="shared" si="4"/>
        <v>28.93</v>
      </c>
    </row>
    <row r="69" spans="1:13" s="59" customFormat="1" ht="14.25" customHeight="1" x14ac:dyDescent="0.2">
      <c r="A69" s="636" t="s">
        <v>5</v>
      </c>
      <c r="B69" s="460" t="str">
        <f>DADOS!B84</f>
        <v>INCRA</v>
      </c>
      <c r="C69" s="460"/>
      <c r="D69" s="429"/>
      <c r="E69" s="429"/>
      <c r="F69" s="461">
        <f>DADOS!C84</f>
        <v>2E-3</v>
      </c>
      <c r="G69" s="449">
        <f t="shared" si="0"/>
        <v>5.55</v>
      </c>
      <c r="H69" s="461">
        <f>DADOS!C84</f>
        <v>2E-3</v>
      </c>
      <c r="I69" s="449">
        <f t="shared" si="1"/>
        <v>5.55</v>
      </c>
      <c r="J69" s="461">
        <f>DADOS!C84</f>
        <v>2E-3</v>
      </c>
      <c r="K69" s="449">
        <f t="shared" si="2"/>
        <v>5.79</v>
      </c>
      <c r="L69" s="461">
        <f t="shared" si="3"/>
        <v>2E-3</v>
      </c>
      <c r="M69" s="449">
        <f t="shared" si="4"/>
        <v>5.79</v>
      </c>
    </row>
    <row r="70" spans="1:13" s="59" customFormat="1" ht="14.25" customHeight="1" x14ac:dyDescent="0.2">
      <c r="A70" s="636" t="s">
        <v>6</v>
      </c>
      <c r="B70" s="460" t="str">
        <f>DADOS!B85</f>
        <v xml:space="preserve">Salário Educação </v>
      </c>
      <c r="C70" s="460"/>
      <c r="D70" s="429"/>
      <c r="E70" s="429"/>
      <c r="F70" s="461">
        <f>DADOS!C85</f>
        <v>2.5000000000000001E-2</v>
      </c>
      <c r="G70" s="449">
        <f t="shared" si="0"/>
        <v>69.400000000000006</v>
      </c>
      <c r="H70" s="461">
        <f>DADOS!C85</f>
        <v>2.5000000000000001E-2</v>
      </c>
      <c r="I70" s="449">
        <f t="shared" si="1"/>
        <v>69.400000000000006</v>
      </c>
      <c r="J70" s="461">
        <f>DADOS!C85</f>
        <v>2.5000000000000001E-2</v>
      </c>
      <c r="K70" s="449">
        <f t="shared" si="2"/>
        <v>72.319999999999993</v>
      </c>
      <c r="L70" s="461">
        <f t="shared" si="3"/>
        <v>2.5000000000000001E-2</v>
      </c>
      <c r="M70" s="449">
        <f t="shared" si="4"/>
        <v>72.319999999999993</v>
      </c>
    </row>
    <row r="71" spans="1:13" s="59" customFormat="1" ht="14.25" customHeight="1" x14ac:dyDescent="0.2">
      <c r="A71" s="636" t="s">
        <v>7</v>
      </c>
      <c r="B71" s="460" t="str">
        <f>DADOS!B86</f>
        <v>FGTS</v>
      </c>
      <c r="C71" s="460"/>
      <c r="D71" s="429"/>
      <c r="E71" s="429"/>
      <c r="F71" s="461">
        <f>DADOS!C86</f>
        <v>0.08</v>
      </c>
      <c r="G71" s="449">
        <f t="shared" si="0"/>
        <v>222.07</v>
      </c>
      <c r="H71" s="461">
        <f>DADOS!C86</f>
        <v>0.08</v>
      </c>
      <c r="I71" s="449">
        <f t="shared" si="1"/>
        <v>222.07</v>
      </c>
      <c r="J71" s="461">
        <f>DADOS!C86</f>
        <v>0.08</v>
      </c>
      <c r="K71" s="449">
        <f t="shared" si="2"/>
        <v>231.42</v>
      </c>
      <c r="L71" s="461">
        <f t="shared" si="3"/>
        <v>0.08</v>
      </c>
      <c r="M71" s="449">
        <f t="shared" si="4"/>
        <v>231.42</v>
      </c>
    </row>
    <row r="72" spans="1:13" s="59" customFormat="1" ht="14.25" customHeight="1" x14ac:dyDescent="0.2">
      <c r="A72" s="636" t="s">
        <v>8</v>
      </c>
      <c r="B72" s="460" t="str">
        <f>DADOS!B87</f>
        <v>Seguro Acidente do Trabalho - RAT x FAP</v>
      </c>
      <c r="C72" s="460"/>
      <c r="D72" s="429"/>
      <c r="E72" s="429"/>
      <c r="F72" s="461">
        <f>DADOS!C87</f>
        <v>2.1299999999999999E-2</v>
      </c>
      <c r="G72" s="449">
        <f t="shared" si="0"/>
        <v>59.13</v>
      </c>
      <c r="H72" s="461">
        <f>DADOS!C87</f>
        <v>2.1299999999999999E-2</v>
      </c>
      <c r="I72" s="449">
        <f t="shared" si="1"/>
        <v>59.13</v>
      </c>
      <c r="J72" s="461">
        <f>DADOS!C87</f>
        <v>2.1299999999999999E-2</v>
      </c>
      <c r="K72" s="449">
        <f t="shared" si="2"/>
        <v>61.62</v>
      </c>
      <c r="L72" s="461">
        <f t="shared" si="3"/>
        <v>2.1299999999999999E-2</v>
      </c>
      <c r="M72" s="449">
        <f t="shared" si="4"/>
        <v>61.62</v>
      </c>
    </row>
    <row r="73" spans="1:13" s="59" customFormat="1" ht="14.25" customHeight="1" x14ac:dyDescent="0.2">
      <c r="A73" s="636" t="s">
        <v>9</v>
      </c>
      <c r="B73" s="460" t="str">
        <f>DADOS!B88</f>
        <v>SEBRAE</v>
      </c>
      <c r="C73" s="460"/>
      <c r="D73" s="429"/>
      <c r="E73" s="429"/>
      <c r="F73" s="461">
        <f>DADOS!C88</f>
        <v>6.0000000000000001E-3</v>
      </c>
      <c r="G73" s="449">
        <f t="shared" si="0"/>
        <v>16.66</v>
      </c>
      <c r="H73" s="461">
        <f>DADOS!C88</f>
        <v>6.0000000000000001E-3</v>
      </c>
      <c r="I73" s="449">
        <f t="shared" si="1"/>
        <v>16.66</v>
      </c>
      <c r="J73" s="461">
        <f>DADOS!C88</f>
        <v>6.0000000000000001E-3</v>
      </c>
      <c r="K73" s="449">
        <f t="shared" si="2"/>
        <v>17.36</v>
      </c>
      <c r="L73" s="461">
        <f t="shared" si="3"/>
        <v>6.0000000000000001E-3</v>
      </c>
      <c r="M73" s="449">
        <f t="shared" si="4"/>
        <v>17.36</v>
      </c>
    </row>
    <row r="74" spans="1:13" s="64" customFormat="1" ht="18" customHeight="1" x14ac:dyDescent="0.2">
      <c r="A74" s="840" t="s">
        <v>62</v>
      </c>
      <c r="B74" s="840"/>
      <c r="C74" s="840"/>
      <c r="D74" s="840"/>
      <c r="E74" s="840"/>
      <c r="F74" s="462">
        <f t="shared" ref="F74:K74" si="5">SUM(F66:F73)</f>
        <v>0.35930000000000001</v>
      </c>
      <c r="G74" s="458">
        <f t="shared" si="5"/>
        <v>997.39</v>
      </c>
      <c r="H74" s="462">
        <f t="shared" si="5"/>
        <v>0.35930000000000001</v>
      </c>
      <c r="I74" s="458">
        <f t="shared" si="5"/>
        <v>997.39</v>
      </c>
      <c r="J74" s="462">
        <f t="shared" si="5"/>
        <v>0.35930000000000001</v>
      </c>
      <c r="K74" s="458">
        <f t="shared" si="5"/>
        <v>1039.3900000000001</v>
      </c>
      <c r="L74" s="462">
        <f>SUM(L66:L73)</f>
        <v>0.35930000000000001</v>
      </c>
      <c r="M74" s="458">
        <f>SUM(M66:M73)</f>
        <v>1039.3900000000001</v>
      </c>
    </row>
    <row r="75" spans="1:13" s="26" customFormat="1" ht="18" customHeight="1" x14ac:dyDescent="0.2">
      <c r="A75" s="463"/>
      <c r="B75" s="463"/>
      <c r="C75" s="463"/>
      <c r="D75" s="463"/>
      <c r="E75" s="463"/>
      <c r="F75" s="448"/>
      <c r="G75" s="453"/>
      <c r="H75" s="448"/>
      <c r="I75" s="453"/>
      <c r="J75" s="448"/>
      <c r="K75" s="453"/>
      <c r="L75" s="448"/>
      <c r="M75" s="453"/>
    </row>
    <row r="76" spans="1:13" s="59" customFormat="1" x14ac:dyDescent="0.2">
      <c r="A76" s="831" t="s">
        <v>119</v>
      </c>
      <c r="B76" s="831"/>
      <c r="C76" s="831"/>
      <c r="D76" s="831"/>
      <c r="E76" s="831"/>
      <c r="F76" s="831"/>
      <c r="G76" s="831"/>
      <c r="H76" s="638"/>
      <c r="I76" s="638"/>
      <c r="J76" s="638"/>
      <c r="K76" s="638"/>
      <c r="L76" s="638"/>
      <c r="M76" s="638"/>
    </row>
    <row r="77" spans="1:13" s="67" customFormat="1" ht="18" customHeight="1" x14ac:dyDescent="0.2">
      <c r="A77" s="633" t="s">
        <v>70</v>
      </c>
      <c r="B77" s="835" t="s">
        <v>121</v>
      </c>
      <c r="C77" s="835"/>
      <c r="D77" s="835"/>
      <c r="E77" s="835"/>
      <c r="F77" s="633" t="s">
        <v>12</v>
      </c>
      <c r="G77" s="633" t="s">
        <v>103</v>
      </c>
      <c r="H77" s="633" t="s">
        <v>12</v>
      </c>
      <c r="I77" s="633" t="s">
        <v>103</v>
      </c>
      <c r="J77" s="633" t="s">
        <v>12</v>
      </c>
      <c r="K77" s="633" t="s">
        <v>103</v>
      </c>
      <c r="L77" s="633" t="s">
        <v>12</v>
      </c>
      <c r="M77" s="633" t="s">
        <v>103</v>
      </c>
    </row>
    <row r="78" spans="1:13" s="59" customFormat="1" ht="14.25" customHeight="1" x14ac:dyDescent="0.2">
      <c r="A78" s="636" t="s">
        <v>1</v>
      </c>
      <c r="B78" s="460" t="str">
        <f>DADOS!B91</f>
        <v xml:space="preserve">13º (décimo terceiro) Salário </v>
      </c>
      <c r="C78" s="460"/>
      <c r="D78" s="429"/>
      <c r="E78" s="429"/>
      <c r="F78" s="461">
        <f>DADOS!C91</f>
        <v>8.3299999999999999E-2</v>
      </c>
      <c r="G78" s="449">
        <f>F78*$G$40</f>
        <v>231.23</v>
      </c>
      <c r="H78" s="461">
        <f>DADOS!C91</f>
        <v>8.3299999999999999E-2</v>
      </c>
      <c r="I78" s="449">
        <f>H78*$I$40</f>
        <v>231.23</v>
      </c>
      <c r="J78" s="461">
        <f>DADOS!C91</f>
        <v>8.3299999999999999E-2</v>
      </c>
      <c r="K78" s="449">
        <f>J78*$K$40</f>
        <v>240.97</v>
      </c>
      <c r="L78" s="461">
        <f>H78</f>
        <v>8.3299999999999999E-2</v>
      </c>
      <c r="M78" s="449">
        <f>L78*$M$40</f>
        <v>240.97</v>
      </c>
    </row>
    <row r="79" spans="1:13" s="59" customFormat="1" ht="14.25" customHeight="1" x14ac:dyDescent="0.2">
      <c r="A79" s="636" t="s">
        <v>2</v>
      </c>
      <c r="B79" s="460" t="str">
        <f>DADOS!B92</f>
        <v>Adicional de férias</v>
      </c>
      <c r="C79" s="460"/>
      <c r="D79" s="429"/>
      <c r="E79" s="429"/>
      <c r="F79" s="461">
        <f>DADOS!C92</f>
        <v>2.7799999999999998E-2</v>
      </c>
      <c r="G79" s="449">
        <f>F79*$G$40</f>
        <v>77.17</v>
      </c>
      <c r="H79" s="461">
        <f>DADOS!C92</f>
        <v>2.7799999999999998E-2</v>
      </c>
      <c r="I79" s="449">
        <f>H79*$I$40</f>
        <v>77.17</v>
      </c>
      <c r="J79" s="461">
        <f>DADOS!C92</f>
        <v>2.7799999999999998E-2</v>
      </c>
      <c r="K79" s="449">
        <f>J79*$K$40</f>
        <v>80.42</v>
      </c>
      <c r="L79" s="461">
        <f>H79</f>
        <v>2.7799999999999998E-2</v>
      </c>
      <c r="M79" s="449">
        <f>L79*$M$40</f>
        <v>80.42</v>
      </c>
    </row>
    <row r="80" spans="1:13" s="59" customFormat="1" ht="14.25" customHeight="1" x14ac:dyDescent="0.2">
      <c r="A80" s="840" t="s">
        <v>108</v>
      </c>
      <c r="B80" s="840"/>
      <c r="C80" s="840"/>
      <c r="D80" s="840"/>
      <c r="E80" s="840"/>
      <c r="F80" s="462">
        <f t="shared" ref="F80:K80" si="6">SUM(F78:F79)</f>
        <v>0.1111</v>
      </c>
      <c r="G80" s="456">
        <f t="shared" si="6"/>
        <v>308.39999999999998</v>
      </c>
      <c r="H80" s="462">
        <f t="shared" si="6"/>
        <v>0.1111</v>
      </c>
      <c r="I80" s="456">
        <f>SUM(I78:I79)</f>
        <v>308.39999999999998</v>
      </c>
      <c r="J80" s="462">
        <f t="shared" si="6"/>
        <v>0.1111</v>
      </c>
      <c r="K80" s="456">
        <f t="shared" si="6"/>
        <v>321.39</v>
      </c>
      <c r="L80" s="652">
        <f>H80</f>
        <v>0.1111</v>
      </c>
      <c r="M80" s="456">
        <f>L80*$M$40</f>
        <v>321.39</v>
      </c>
    </row>
    <row r="81" spans="1:13" s="59" customFormat="1" ht="28.5" customHeight="1" x14ac:dyDescent="0.2">
      <c r="A81" s="636" t="s">
        <v>2</v>
      </c>
      <c r="B81" s="819" t="str">
        <f>DADOS!B94</f>
        <v xml:space="preserve">Incidência dos encargos previstos no Submódulo 4.1 sobre 13° (décimo terceiro) salário </v>
      </c>
      <c r="C81" s="819"/>
      <c r="D81" s="819"/>
      <c r="E81" s="819"/>
      <c r="F81" s="461">
        <f>F74*F80</f>
        <v>3.9899999999999998E-2</v>
      </c>
      <c r="G81" s="449">
        <f>F81*$G$40</f>
        <v>110.76</v>
      </c>
      <c r="H81" s="461">
        <f>H74*H80</f>
        <v>3.9899999999999998E-2</v>
      </c>
      <c r="I81" s="449">
        <f>H81*$I$40</f>
        <v>110.76</v>
      </c>
      <c r="J81" s="461">
        <f>J74*J80</f>
        <v>3.9899999999999998E-2</v>
      </c>
      <c r="K81" s="449">
        <f>J81*$K$40</f>
        <v>115.42</v>
      </c>
      <c r="L81" s="461">
        <f>H81</f>
        <v>3.9899999999999998E-2</v>
      </c>
      <c r="M81" s="449">
        <f>L81*$M$40</f>
        <v>115.42</v>
      </c>
    </row>
    <row r="82" spans="1:13" s="64" customFormat="1" ht="18" customHeight="1" x14ac:dyDescent="0.2">
      <c r="A82" s="840" t="s">
        <v>62</v>
      </c>
      <c r="B82" s="840"/>
      <c r="C82" s="840"/>
      <c r="D82" s="840"/>
      <c r="E82" s="840"/>
      <c r="F82" s="462">
        <f t="shared" ref="F82:K82" si="7">SUM(F80:F81)</f>
        <v>0.151</v>
      </c>
      <c r="G82" s="458">
        <f t="shared" si="7"/>
        <v>419.16</v>
      </c>
      <c r="H82" s="462">
        <f t="shared" si="7"/>
        <v>0.151</v>
      </c>
      <c r="I82" s="458">
        <f t="shared" si="7"/>
        <v>419.16</v>
      </c>
      <c r="J82" s="462">
        <f t="shared" si="7"/>
        <v>0.151</v>
      </c>
      <c r="K82" s="458">
        <f t="shared" si="7"/>
        <v>436.81</v>
      </c>
      <c r="L82" s="462">
        <f>SUM(L80:L81)</f>
        <v>0.151</v>
      </c>
      <c r="M82" s="458">
        <f>SUM(M80:M81)</f>
        <v>436.81</v>
      </c>
    </row>
    <row r="83" spans="1:13" s="64" customFormat="1" x14ac:dyDescent="0.2">
      <c r="A83" s="635"/>
      <c r="B83" s="635"/>
      <c r="C83" s="635"/>
      <c r="D83" s="635"/>
      <c r="E83" s="635"/>
      <c r="F83" s="448"/>
      <c r="G83" s="453"/>
      <c r="H83" s="448"/>
      <c r="I83" s="453"/>
      <c r="J83" s="448"/>
      <c r="K83" s="453"/>
      <c r="L83" s="448"/>
      <c r="M83" s="453"/>
    </row>
    <row r="84" spans="1:13" s="59" customFormat="1" x14ac:dyDescent="0.2">
      <c r="A84" s="831" t="s">
        <v>109</v>
      </c>
      <c r="B84" s="831"/>
      <c r="C84" s="831"/>
      <c r="D84" s="831"/>
      <c r="E84" s="831"/>
      <c r="F84" s="831"/>
      <c r="G84" s="831"/>
      <c r="H84" s="638"/>
      <c r="I84" s="638"/>
      <c r="J84" s="638"/>
      <c r="K84" s="638"/>
      <c r="L84" s="638"/>
      <c r="M84" s="638"/>
    </row>
    <row r="85" spans="1:13" s="59" customFormat="1" ht="18" customHeight="1" x14ac:dyDescent="0.2">
      <c r="A85" s="633" t="s">
        <v>63</v>
      </c>
      <c r="B85" s="835" t="s">
        <v>26</v>
      </c>
      <c r="C85" s="835"/>
      <c r="D85" s="835"/>
      <c r="E85" s="835"/>
      <c r="F85" s="633" t="s">
        <v>12</v>
      </c>
      <c r="G85" s="633" t="s">
        <v>103</v>
      </c>
      <c r="H85" s="633" t="s">
        <v>12</v>
      </c>
      <c r="I85" s="633" t="s">
        <v>103</v>
      </c>
      <c r="J85" s="633" t="s">
        <v>12</v>
      </c>
      <c r="K85" s="633" t="s">
        <v>103</v>
      </c>
      <c r="L85" s="633" t="s">
        <v>12</v>
      </c>
      <c r="M85" s="633" t="s">
        <v>103</v>
      </c>
    </row>
    <row r="86" spans="1:13" s="59" customFormat="1" ht="14.25" customHeight="1" x14ac:dyDescent="0.2">
      <c r="A86" s="636" t="s">
        <v>1</v>
      </c>
      <c r="B86" s="460" t="str">
        <f>DADOS!B97</f>
        <v>Afastamento Maternidade</v>
      </c>
      <c r="C86" s="460"/>
      <c r="D86" s="429"/>
      <c r="E86" s="429"/>
      <c r="F86" s="461">
        <f>DADOS!C97</f>
        <v>0</v>
      </c>
      <c r="G86" s="449">
        <f>F86*$G$40</f>
        <v>0</v>
      </c>
      <c r="H86" s="461">
        <f>DADOS!E97</f>
        <v>0</v>
      </c>
      <c r="I86" s="449">
        <f>H86*$I$40</f>
        <v>0</v>
      </c>
      <c r="J86" s="461">
        <f>DADOS!G97</f>
        <v>0</v>
      </c>
      <c r="K86" s="449">
        <f>J86*$I$40</f>
        <v>0</v>
      </c>
      <c r="L86" s="461">
        <f>DADOS!I97</f>
        <v>0</v>
      </c>
      <c r="M86" s="449">
        <f>L86*$M$40</f>
        <v>0</v>
      </c>
    </row>
    <row r="87" spans="1:13" s="59" customFormat="1" ht="14.25" customHeight="1" x14ac:dyDescent="0.2">
      <c r="A87" s="636" t="s">
        <v>2</v>
      </c>
      <c r="B87" s="460" t="str">
        <f>DADOS!B98</f>
        <v>Incidência dos encargos do Submódulo 4.1 sobre o afastamento maternidade</v>
      </c>
      <c r="C87" s="460"/>
      <c r="D87" s="429"/>
      <c r="E87" s="429"/>
      <c r="F87" s="461">
        <f>DADOS!C98</f>
        <v>0</v>
      </c>
      <c r="G87" s="449">
        <f>F87*$G$40</f>
        <v>0</v>
      </c>
      <c r="H87" s="461">
        <f>DADOS!E98</f>
        <v>0</v>
      </c>
      <c r="I87" s="449">
        <f>H87*$I$40</f>
        <v>0</v>
      </c>
      <c r="J87" s="461">
        <f>DADOS!G98</f>
        <v>0</v>
      </c>
      <c r="K87" s="449">
        <f>J87*$K$40</f>
        <v>0</v>
      </c>
      <c r="L87" s="461">
        <f>DADOS!I98</f>
        <v>0</v>
      </c>
      <c r="M87" s="449">
        <f>L87*$M$40</f>
        <v>0</v>
      </c>
    </row>
    <row r="88" spans="1:13" s="64" customFormat="1" ht="18" customHeight="1" x14ac:dyDescent="0.2">
      <c r="A88" s="840" t="s">
        <v>62</v>
      </c>
      <c r="B88" s="840"/>
      <c r="C88" s="840"/>
      <c r="D88" s="840"/>
      <c r="E88" s="840"/>
      <c r="F88" s="462">
        <f t="shared" ref="F88:K88" si="8">SUM(F86:F87)</f>
        <v>0</v>
      </c>
      <c r="G88" s="458">
        <f t="shared" si="8"/>
        <v>0</v>
      </c>
      <c r="H88" s="462">
        <f t="shared" si="8"/>
        <v>0</v>
      </c>
      <c r="I88" s="458">
        <f t="shared" si="8"/>
        <v>0</v>
      </c>
      <c r="J88" s="462">
        <f t="shared" si="8"/>
        <v>0</v>
      </c>
      <c r="K88" s="458">
        <f t="shared" si="8"/>
        <v>0</v>
      </c>
      <c r="L88" s="462">
        <f>SUM(L86:L87)</f>
        <v>0</v>
      </c>
      <c r="M88" s="458">
        <f>SUM(M86:M87)</f>
        <v>0</v>
      </c>
    </row>
    <row r="89" spans="1:13" s="64" customFormat="1" ht="18" customHeight="1" x14ac:dyDescent="0.2">
      <c r="A89" s="635"/>
      <c r="B89" s="635"/>
      <c r="C89" s="635"/>
      <c r="D89" s="635"/>
      <c r="E89" s="635"/>
      <c r="F89" s="448"/>
      <c r="G89" s="453"/>
      <c r="H89" s="448"/>
      <c r="I89" s="453"/>
      <c r="J89" s="448"/>
      <c r="K89" s="453"/>
      <c r="L89" s="448"/>
      <c r="M89" s="453"/>
    </row>
    <row r="90" spans="1:13" s="59" customFormat="1" x14ac:dyDescent="0.2">
      <c r="A90" s="831" t="s">
        <v>110</v>
      </c>
      <c r="B90" s="831"/>
      <c r="C90" s="831"/>
      <c r="D90" s="831"/>
      <c r="E90" s="831"/>
      <c r="F90" s="831"/>
      <c r="G90" s="831"/>
      <c r="H90" s="638"/>
      <c r="I90" s="638"/>
      <c r="J90" s="638"/>
      <c r="K90" s="638"/>
      <c r="L90" s="638"/>
      <c r="M90" s="638"/>
    </row>
    <row r="91" spans="1:13" s="59" customFormat="1" ht="18" customHeight="1" x14ac:dyDescent="0.2">
      <c r="A91" s="633" t="s">
        <v>74</v>
      </c>
      <c r="B91" s="835" t="s">
        <v>111</v>
      </c>
      <c r="C91" s="835"/>
      <c r="D91" s="835"/>
      <c r="E91" s="835"/>
      <c r="F91" s="633" t="s">
        <v>12</v>
      </c>
      <c r="G91" s="633" t="s">
        <v>103</v>
      </c>
      <c r="H91" s="633" t="s">
        <v>12</v>
      </c>
      <c r="I91" s="633" t="s">
        <v>103</v>
      </c>
      <c r="J91" s="633" t="s">
        <v>12</v>
      </c>
      <c r="K91" s="633" t="s">
        <v>103</v>
      </c>
      <c r="L91" s="633" t="s">
        <v>12</v>
      </c>
      <c r="M91" s="633" t="s">
        <v>103</v>
      </c>
    </row>
    <row r="92" spans="1:13" s="59" customFormat="1" ht="14.25" customHeight="1" x14ac:dyDescent="0.2">
      <c r="A92" s="636" t="s">
        <v>1</v>
      </c>
      <c r="B92" s="460" t="str">
        <f>DADOS!B101</f>
        <v>Aviso Prévio Indenizado </v>
      </c>
      <c r="C92" s="460"/>
      <c r="D92" s="429"/>
      <c r="E92" s="429"/>
      <c r="F92" s="461">
        <f>DADOS!C101</f>
        <v>4.1999999999999997E-3</v>
      </c>
      <c r="G92" s="449">
        <f t="shared" ref="G92:G97" si="9">F92*$G$40</f>
        <v>11.66</v>
      </c>
      <c r="H92" s="465">
        <v>4.0000000000000002E-4</v>
      </c>
      <c r="I92" s="449">
        <f>ROUND(H92*$I$40,2)</f>
        <v>1.1100000000000001</v>
      </c>
      <c r="J92" s="461">
        <v>4.1999999999999997E-3</v>
      </c>
      <c r="K92" s="449">
        <f t="shared" ref="K92:K97" si="10">J92*$K$40</f>
        <v>12.15</v>
      </c>
      <c r="L92" s="465">
        <f t="shared" ref="L92:L97" si="11">H92</f>
        <v>4.0000000000000002E-4</v>
      </c>
      <c r="M92" s="449">
        <f t="shared" ref="M92:M97" si="12">ROUND(L92*$M$40,2)</f>
        <v>1.1599999999999999</v>
      </c>
    </row>
    <row r="93" spans="1:13" s="59" customFormat="1" ht="14.25" customHeight="1" x14ac:dyDescent="0.2">
      <c r="A93" s="636" t="s">
        <v>2</v>
      </c>
      <c r="B93" s="460" t="str">
        <f>DADOS!B102</f>
        <v>Incidência dos encargos do submódulo 4.1 sobre aviso prévio indenizado</v>
      </c>
      <c r="C93" s="460"/>
      <c r="D93" s="429"/>
      <c r="E93" s="429"/>
      <c r="F93" s="461">
        <f>DADOS!C102</f>
        <v>1.5E-3</v>
      </c>
      <c r="G93" s="449">
        <f t="shared" si="9"/>
        <v>4.16</v>
      </c>
      <c r="H93" s="465">
        <v>1E-4</v>
      </c>
      <c r="I93" s="449">
        <f>H93*$I$40</f>
        <v>0.28000000000000003</v>
      </c>
      <c r="J93" s="461">
        <v>1.5E-3</v>
      </c>
      <c r="K93" s="449">
        <f t="shared" si="10"/>
        <v>4.34</v>
      </c>
      <c r="L93" s="465">
        <f t="shared" si="11"/>
        <v>1E-4</v>
      </c>
      <c r="M93" s="449">
        <f t="shared" si="12"/>
        <v>0.28999999999999998</v>
      </c>
    </row>
    <row r="94" spans="1:13" s="59" customFormat="1" ht="14.25" customHeight="1" x14ac:dyDescent="0.2">
      <c r="A94" s="636" t="s">
        <v>4</v>
      </c>
      <c r="B94" s="460" t="str">
        <f>DADOS!B103</f>
        <v xml:space="preserve">Multa do FGTS e contribuições sociais sobre o aviso prévio indenizado </v>
      </c>
      <c r="C94" s="460"/>
      <c r="D94" s="429"/>
      <c r="E94" s="429"/>
      <c r="F94" s="461">
        <f>DADOS!C103</f>
        <v>4.3499999999999997E-2</v>
      </c>
      <c r="G94" s="449">
        <f t="shared" si="9"/>
        <v>120.75</v>
      </c>
      <c r="H94" s="461">
        <f>DADOS!C103</f>
        <v>4.3499999999999997E-2</v>
      </c>
      <c r="I94" s="449">
        <f>H94*$I$40</f>
        <v>120.75</v>
      </c>
      <c r="J94" s="461">
        <v>4.3499999999999997E-2</v>
      </c>
      <c r="K94" s="449">
        <f t="shared" si="10"/>
        <v>125.84</v>
      </c>
      <c r="L94" s="461">
        <f t="shared" si="11"/>
        <v>4.3499999999999997E-2</v>
      </c>
      <c r="M94" s="449">
        <f t="shared" si="12"/>
        <v>125.84</v>
      </c>
    </row>
    <row r="95" spans="1:13" s="59" customFormat="1" ht="14.25" customHeight="1" x14ac:dyDescent="0.2">
      <c r="A95" s="636" t="s">
        <v>5</v>
      </c>
      <c r="B95" s="460" t="str">
        <f>DADOS!B104</f>
        <v>Aviso Prévio trabalhado</v>
      </c>
      <c r="C95" s="460"/>
      <c r="D95" s="429"/>
      <c r="E95" s="429"/>
      <c r="F95" s="461">
        <f>DADOS!C104</f>
        <v>1.9400000000000001E-2</v>
      </c>
      <c r="G95" s="449">
        <f t="shared" si="9"/>
        <v>53.85</v>
      </c>
      <c r="H95" s="465">
        <v>0</v>
      </c>
      <c r="I95" s="449">
        <f>H95*$I$40</f>
        <v>0</v>
      </c>
      <c r="J95" s="461">
        <v>1.9400000000000001E-2</v>
      </c>
      <c r="K95" s="449">
        <f t="shared" si="10"/>
        <v>56.12</v>
      </c>
      <c r="L95" s="465">
        <f t="shared" si="11"/>
        <v>0</v>
      </c>
      <c r="M95" s="449">
        <f t="shared" si="12"/>
        <v>0</v>
      </c>
    </row>
    <row r="96" spans="1:13" s="59" customFormat="1" ht="14.25" customHeight="1" x14ac:dyDescent="0.2">
      <c r="A96" s="636" t="s">
        <v>6</v>
      </c>
      <c r="B96" s="460" t="str">
        <f>DADOS!B105</f>
        <v>Incidência dos encargos do submódulo 4.1 sobre aviso prévio trabalhado</v>
      </c>
      <c r="C96" s="460"/>
      <c r="D96" s="429"/>
      <c r="E96" s="429"/>
      <c r="F96" s="461">
        <f>DADOS!C105</f>
        <v>7.0000000000000001E-3</v>
      </c>
      <c r="G96" s="449">
        <f t="shared" si="9"/>
        <v>19.43</v>
      </c>
      <c r="H96" s="465">
        <v>0</v>
      </c>
      <c r="I96" s="449">
        <f>H96*$I$40</f>
        <v>0</v>
      </c>
      <c r="J96" s="461">
        <v>7.0000000000000001E-3</v>
      </c>
      <c r="K96" s="449">
        <f t="shared" si="10"/>
        <v>20.25</v>
      </c>
      <c r="L96" s="465">
        <f t="shared" si="11"/>
        <v>0</v>
      </c>
      <c r="M96" s="449">
        <f t="shared" si="12"/>
        <v>0</v>
      </c>
    </row>
    <row r="97" spans="1:13" s="59" customFormat="1" ht="14.25" customHeight="1" x14ac:dyDescent="0.2">
      <c r="A97" s="636" t="s">
        <v>7</v>
      </c>
      <c r="B97" s="460" t="str">
        <f>DADOS!B106</f>
        <v>Multa do FGTS e contribuições sociais sobre o aviso prévio trabalhado</v>
      </c>
      <c r="C97" s="460"/>
      <c r="D97" s="429"/>
      <c r="E97" s="429"/>
      <c r="F97" s="461">
        <f>DADOS!C106</f>
        <v>6.4999999999999997E-3</v>
      </c>
      <c r="G97" s="449">
        <f t="shared" si="9"/>
        <v>18.04</v>
      </c>
      <c r="H97" s="461">
        <f>DADOS!C106</f>
        <v>6.4999999999999997E-3</v>
      </c>
      <c r="I97" s="449">
        <f>H97*$I$40</f>
        <v>18.04</v>
      </c>
      <c r="J97" s="461">
        <v>6.4999999999999997E-3</v>
      </c>
      <c r="K97" s="449">
        <f t="shared" si="10"/>
        <v>18.8</v>
      </c>
      <c r="L97" s="461">
        <f t="shared" si="11"/>
        <v>6.4999999999999997E-3</v>
      </c>
      <c r="M97" s="449">
        <f t="shared" si="12"/>
        <v>18.8</v>
      </c>
    </row>
    <row r="98" spans="1:13" s="64" customFormat="1" ht="18" customHeight="1" x14ac:dyDescent="0.2">
      <c r="A98" s="840" t="s">
        <v>62</v>
      </c>
      <c r="B98" s="840"/>
      <c r="C98" s="840"/>
      <c r="D98" s="840"/>
      <c r="E98" s="840"/>
      <c r="F98" s="462">
        <f t="shared" ref="F98:K98" si="13">SUM(F92:F97)</f>
        <v>8.2100000000000006E-2</v>
      </c>
      <c r="G98" s="458">
        <f t="shared" si="13"/>
        <v>227.89</v>
      </c>
      <c r="H98" s="462">
        <f t="shared" si="13"/>
        <v>5.0500000000000003E-2</v>
      </c>
      <c r="I98" s="458">
        <f t="shared" si="13"/>
        <v>140.18</v>
      </c>
      <c r="J98" s="462">
        <f t="shared" si="13"/>
        <v>8.2100000000000006E-2</v>
      </c>
      <c r="K98" s="458">
        <f t="shared" si="13"/>
        <v>237.5</v>
      </c>
      <c r="L98" s="462">
        <f>SUM(L92:L97)</f>
        <v>5.0500000000000003E-2</v>
      </c>
      <c r="M98" s="458">
        <f>SUM(M92:M97)</f>
        <v>146.09</v>
      </c>
    </row>
    <row r="99" spans="1:13" s="64" customFormat="1" ht="18" customHeight="1" x14ac:dyDescent="0.2">
      <c r="A99" s="635"/>
      <c r="B99" s="635"/>
      <c r="C99" s="635"/>
      <c r="D99" s="635"/>
      <c r="E99" s="635"/>
      <c r="F99" s="448"/>
      <c r="G99" s="453"/>
      <c r="H99" s="448"/>
      <c r="I99" s="453"/>
      <c r="J99" s="448"/>
      <c r="K99" s="453"/>
      <c r="L99" s="448"/>
      <c r="M99" s="453"/>
    </row>
    <row r="100" spans="1:13" s="59" customFormat="1" x14ac:dyDescent="0.2">
      <c r="A100" s="831" t="s">
        <v>112</v>
      </c>
      <c r="B100" s="831"/>
      <c r="C100" s="831"/>
      <c r="D100" s="831"/>
      <c r="E100" s="831"/>
      <c r="F100" s="831"/>
      <c r="G100" s="831"/>
      <c r="H100" s="638"/>
      <c r="I100" s="638"/>
      <c r="J100" s="638"/>
      <c r="K100" s="638"/>
      <c r="L100" s="638"/>
      <c r="M100" s="638"/>
    </row>
    <row r="101" spans="1:13" s="59" customFormat="1" ht="18" customHeight="1" x14ac:dyDescent="0.2">
      <c r="A101" s="633" t="s">
        <v>77</v>
      </c>
      <c r="B101" s="835" t="s">
        <v>123</v>
      </c>
      <c r="C101" s="835"/>
      <c r="D101" s="835"/>
      <c r="E101" s="835"/>
      <c r="F101" s="633" t="s">
        <v>12</v>
      </c>
      <c r="G101" s="633" t="s">
        <v>103</v>
      </c>
      <c r="H101" s="633" t="s">
        <v>12</v>
      </c>
      <c r="I101" s="633" t="s">
        <v>103</v>
      </c>
      <c r="J101" s="633" t="s">
        <v>12</v>
      </c>
      <c r="K101" s="633" t="s">
        <v>103</v>
      </c>
      <c r="L101" s="633" t="s">
        <v>12</v>
      </c>
      <c r="M101" s="633" t="s">
        <v>103</v>
      </c>
    </row>
    <row r="102" spans="1:13" s="59" customFormat="1" ht="14.25" customHeight="1" x14ac:dyDescent="0.2">
      <c r="A102" s="636" t="s">
        <v>1</v>
      </c>
      <c r="B102" s="460" t="str">
        <f>DADOS!B109</f>
        <v xml:space="preserve">Férias </v>
      </c>
      <c r="C102" s="460"/>
      <c r="D102" s="429"/>
      <c r="E102" s="429"/>
      <c r="F102" s="461">
        <f>DADOS!C109</f>
        <v>8.3299999999999999E-2</v>
      </c>
      <c r="G102" s="453">
        <f t="shared" ref="G102:G109" si="14">F102*$G$40</f>
        <v>231.23</v>
      </c>
      <c r="H102" s="461">
        <f>DADOS!C109</f>
        <v>8.3299999999999999E-2</v>
      </c>
      <c r="I102" s="453">
        <f t="shared" ref="I102:I107" si="15">H102*$I$40</f>
        <v>231.23</v>
      </c>
      <c r="J102" s="461">
        <f>DADOS!C109</f>
        <v>8.3299999999999999E-2</v>
      </c>
      <c r="K102" s="453">
        <f t="shared" ref="K102:K107" si="16">J102*$K$40</f>
        <v>240.97</v>
      </c>
      <c r="L102" s="461">
        <f t="shared" ref="L102:L107" si="17">H102</f>
        <v>8.3299999999999999E-2</v>
      </c>
      <c r="M102" s="453">
        <f t="shared" ref="M102:M107" si="18">L102*$M$40</f>
        <v>240.97</v>
      </c>
    </row>
    <row r="103" spans="1:13" s="59" customFormat="1" ht="14.25" customHeight="1" x14ac:dyDescent="0.2">
      <c r="A103" s="636" t="s">
        <v>2</v>
      </c>
      <c r="B103" s="460" t="str">
        <f>DADOS!B110</f>
        <v>Ausência por doença</v>
      </c>
      <c r="C103" s="460"/>
      <c r="D103" s="429"/>
      <c r="E103" s="429"/>
      <c r="F103" s="461">
        <f>DADOS!C110</f>
        <v>1.3899999999999999E-2</v>
      </c>
      <c r="G103" s="453">
        <f t="shared" si="14"/>
        <v>38.58</v>
      </c>
      <c r="H103" s="461">
        <f>DADOS!C110</f>
        <v>1.3899999999999999E-2</v>
      </c>
      <c r="I103" s="453">
        <f t="shared" si="15"/>
        <v>38.58</v>
      </c>
      <c r="J103" s="461">
        <f>DADOS!C110</f>
        <v>1.3899999999999999E-2</v>
      </c>
      <c r="K103" s="453">
        <f t="shared" si="16"/>
        <v>40.21</v>
      </c>
      <c r="L103" s="461">
        <f t="shared" si="17"/>
        <v>1.3899999999999999E-2</v>
      </c>
      <c r="M103" s="453">
        <f t="shared" si="18"/>
        <v>40.21</v>
      </c>
    </row>
    <row r="104" spans="1:13" s="59" customFormat="1" ht="14.25" customHeight="1" x14ac:dyDescent="0.2">
      <c r="A104" s="636" t="s">
        <v>4</v>
      </c>
      <c r="B104" s="460" t="str">
        <f>DADOS!B111</f>
        <v>Licença Paternidade</v>
      </c>
      <c r="C104" s="460"/>
      <c r="D104" s="429"/>
      <c r="E104" s="429"/>
      <c r="F104" s="461">
        <f>DADOS!C111</f>
        <v>1.2999999999999999E-3</v>
      </c>
      <c r="G104" s="453">
        <f t="shared" si="14"/>
        <v>3.61</v>
      </c>
      <c r="H104" s="461">
        <f>DADOS!C111</f>
        <v>1.2999999999999999E-3</v>
      </c>
      <c r="I104" s="453">
        <f t="shared" si="15"/>
        <v>3.61</v>
      </c>
      <c r="J104" s="461">
        <f>DADOS!C111</f>
        <v>1.2999999999999999E-3</v>
      </c>
      <c r="K104" s="453">
        <f t="shared" si="16"/>
        <v>3.76</v>
      </c>
      <c r="L104" s="461">
        <f t="shared" si="17"/>
        <v>1.2999999999999999E-3</v>
      </c>
      <c r="M104" s="453">
        <f t="shared" si="18"/>
        <v>3.76</v>
      </c>
    </row>
    <row r="105" spans="1:13" s="59" customFormat="1" ht="14.25" customHeight="1" x14ac:dyDescent="0.2">
      <c r="A105" s="636" t="s">
        <v>5</v>
      </c>
      <c r="B105" s="460" t="str">
        <f>DADOS!B112</f>
        <v>Ausências legais</v>
      </c>
      <c r="C105" s="460"/>
      <c r="D105" s="429"/>
      <c r="E105" s="429"/>
      <c r="F105" s="461">
        <f>DADOS!C112</f>
        <v>2.8E-3</v>
      </c>
      <c r="G105" s="453">
        <f t="shared" si="14"/>
        <v>7.77</v>
      </c>
      <c r="H105" s="461">
        <f>DADOS!C112</f>
        <v>2.8E-3</v>
      </c>
      <c r="I105" s="453">
        <f t="shared" si="15"/>
        <v>7.77</v>
      </c>
      <c r="J105" s="461">
        <f>DADOS!C112</f>
        <v>2.8E-3</v>
      </c>
      <c r="K105" s="453">
        <f t="shared" si="16"/>
        <v>8.1</v>
      </c>
      <c r="L105" s="461">
        <f t="shared" si="17"/>
        <v>2.8E-3</v>
      </c>
      <c r="M105" s="453">
        <f t="shared" si="18"/>
        <v>8.1</v>
      </c>
    </row>
    <row r="106" spans="1:13" s="59" customFormat="1" ht="14.25" customHeight="1" x14ac:dyDescent="0.2">
      <c r="A106" s="636" t="s">
        <v>6</v>
      </c>
      <c r="B106" s="460" t="str">
        <f>DADOS!B113</f>
        <v>Ausência por Acidente de trabalho</v>
      </c>
      <c r="C106" s="460"/>
      <c r="D106" s="429"/>
      <c r="E106" s="429"/>
      <c r="F106" s="461">
        <f>DADOS!C113</f>
        <v>3.3E-3</v>
      </c>
      <c r="G106" s="453">
        <f t="shared" si="14"/>
        <v>9.16</v>
      </c>
      <c r="H106" s="461">
        <f>DADOS!C113</f>
        <v>3.3E-3</v>
      </c>
      <c r="I106" s="453">
        <f t="shared" si="15"/>
        <v>9.16</v>
      </c>
      <c r="J106" s="461">
        <f>DADOS!C113</f>
        <v>3.3E-3</v>
      </c>
      <c r="K106" s="453">
        <f t="shared" si="16"/>
        <v>9.5500000000000007</v>
      </c>
      <c r="L106" s="461">
        <f t="shared" si="17"/>
        <v>3.3E-3</v>
      </c>
      <c r="M106" s="453">
        <f t="shared" si="18"/>
        <v>9.5500000000000007</v>
      </c>
    </row>
    <row r="107" spans="1:13" s="59" customFormat="1" ht="14.25" customHeight="1" x14ac:dyDescent="0.2">
      <c r="A107" s="636" t="s">
        <v>7</v>
      </c>
      <c r="B107" s="460" t="str">
        <f>DADOS!B114</f>
        <v>Outros (especificar)</v>
      </c>
      <c r="C107" s="460"/>
      <c r="D107" s="429"/>
      <c r="E107" s="429"/>
      <c r="F107" s="461">
        <f>DADOS!C114</f>
        <v>0</v>
      </c>
      <c r="G107" s="453">
        <f t="shared" si="14"/>
        <v>0</v>
      </c>
      <c r="H107" s="461">
        <f>DADOS!C114</f>
        <v>0</v>
      </c>
      <c r="I107" s="453">
        <f t="shared" si="15"/>
        <v>0</v>
      </c>
      <c r="J107" s="461">
        <f>DADOS!C114</f>
        <v>0</v>
      </c>
      <c r="K107" s="453">
        <f t="shared" si="16"/>
        <v>0</v>
      </c>
      <c r="L107" s="461">
        <f t="shared" si="17"/>
        <v>0</v>
      </c>
      <c r="M107" s="453">
        <f t="shared" si="18"/>
        <v>0</v>
      </c>
    </row>
    <row r="108" spans="1:13" s="59" customFormat="1" ht="15" customHeight="1" x14ac:dyDescent="0.2">
      <c r="A108" s="840" t="s">
        <v>108</v>
      </c>
      <c r="B108" s="840"/>
      <c r="C108" s="840"/>
      <c r="D108" s="840"/>
      <c r="E108" s="840"/>
      <c r="F108" s="462">
        <f t="shared" ref="F108:K108" si="19">SUM(F102:F107)</f>
        <v>0.1046</v>
      </c>
      <c r="G108" s="456">
        <f t="shared" si="19"/>
        <v>290.35000000000002</v>
      </c>
      <c r="H108" s="462">
        <f t="shared" si="19"/>
        <v>0.1046</v>
      </c>
      <c r="I108" s="456">
        <f t="shared" si="19"/>
        <v>290.35000000000002</v>
      </c>
      <c r="J108" s="462">
        <f t="shared" si="19"/>
        <v>0.1046</v>
      </c>
      <c r="K108" s="456">
        <f t="shared" si="19"/>
        <v>302.58999999999997</v>
      </c>
      <c r="L108" s="462">
        <f>SUM(L102:L107)</f>
        <v>0.1046</v>
      </c>
      <c r="M108" s="456">
        <f>SUM(M102:M107)</f>
        <v>302.58999999999997</v>
      </c>
    </row>
    <row r="109" spans="1:13" s="59" customFormat="1" ht="28.5" customHeight="1" x14ac:dyDescent="0.2">
      <c r="A109" s="636" t="s">
        <v>8</v>
      </c>
      <c r="B109" s="819" t="str">
        <f>DADOS!B116</f>
        <v>Incidência dos encargos previstos no Submódulo 4.1 sobre o custo de reposição do profissional ausente</v>
      </c>
      <c r="C109" s="819"/>
      <c r="D109" s="819"/>
      <c r="E109" s="819"/>
      <c r="F109" s="461">
        <f>DADOS!C116</f>
        <v>3.7600000000000001E-2</v>
      </c>
      <c r="G109" s="453">
        <f t="shared" si="14"/>
        <v>104.37</v>
      </c>
      <c r="H109" s="461">
        <f>DADOS!C116</f>
        <v>3.7600000000000001E-2</v>
      </c>
      <c r="I109" s="453">
        <f>H109*$I$40</f>
        <v>104.37</v>
      </c>
      <c r="J109" s="461">
        <f>DADOS!C116</f>
        <v>3.7600000000000001E-2</v>
      </c>
      <c r="K109" s="453">
        <f>J109*$K$40</f>
        <v>108.77</v>
      </c>
      <c r="L109" s="461">
        <f>H109</f>
        <v>3.7600000000000001E-2</v>
      </c>
      <c r="M109" s="453">
        <f>L109*$M$40</f>
        <v>108.77</v>
      </c>
    </row>
    <row r="110" spans="1:13" s="70" customFormat="1" ht="18" customHeight="1" x14ac:dyDescent="0.2">
      <c r="A110" s="840" t="s">
        <v>62</v>
      </c>
      <c r="B110" s="840"/>
      <c r="C110" s="840"/>
      <c r="D110" s="840"/>
      <c r="E110" s="840"/>
      <c r="F110" s="462">
        <f t="shared" ref="F110:K110" si="20">SUM(F108:F109)</f>
        <v>0.14219999999999999</v>
      </c>
      <c r="G110" s="458">
        <f t="shared" si="20"/>
        <v>394.72</v>
      </c>
      <c r="H110" s="462">
        <f t="shared" si="20"/>
        <v>0.14219999999999999</v>
      </c>
      <c r="I110" s="458">
        <f t="shared" si="20"/>
        <v>394.72</v>
      </c>
      <c r="J110" s="462">
        <f t="shared" si="20"/>
        <v>0.14219999999999999</v>
      </c>
      <c r="K110" s="458">
        <f t="shared" si="20"/>
        <v>411.36</v>
      </c>
      <c r="L110" s="462">
        <f>SUM(L108:L109)</f>
        <v>0.14219999999999999</v>
      </c>
      <c r="M110" s="458">
        <f>SUM(M108:M109)</f>
        <v>411.36</v>
      </c>
    </row>
    <row r="111" spans="1:13" s="64" customFormat="1" ht="18" customHeight="1" x14ac:dyDescent="0.2">
      <c r="A111" s="635"/>
      <c r="B111" s="635"/>
      <c r="C111" s="635"/>
      <c r="D111" s="635"/>
      <c r="E111" s="635"/>
      <c r="F111" s="448"/>
      <c r="G111" s="453"/>
      <c r="H111" s="448"/>
      <c r="I111" s="453"/>
      <c r="J111" s="448"/>
      <c r="K111" s="453"/>
      <c r="L111" s="448"/>
      <c r="M111" s="453"/>
    </row>
    <row r="112" spans="1:13" s="59" customFormat="1" x14ac:dyDescent="0.2">
      <c r="A112" s="832" t="s">
        <v>143</v>
      </c>
      <c r="B112" s="832"/>
      <c r="C112" s="832"/>
      <c r="D112" s="832"/>
      <c r="E112" s="832"/>
      <c r="F112" s="832"/>
      <c r="G112" s="832"/>
      <c r="H112" s="639"/>
      <c r="I112" s="639"/>
      <c r="J112" s="639"/>
      <c r="K112" s="639"/>
      <c r="L112" s="639"/>
      <c r="M112" s="639"/>
    </row>
    <row r="113" spans="1:13" s="59" customFormat="1" ht="18" customHeight="1" x14ac:dyDescent="0.2">
      <c r="A113" s="633">
        <v>4</v>
      </c>
      <c r="B113" s="835" t="s">
        <v>113</v>
      </c>
      <c r="C113" s="835"/>
      <c r="D113" s="835"/>
      <c r="E113" s="835"/>
      <c r="F113" s="633" t="s">
        <v>12</v>
      </c>
      <c r="G113" s="633" t="s">
        <v>103</v>
      </c>
      <c r="H113" s="633" t="s">
        <v>12</v>
      </c>
      <c r="I113" s="633" t="s">
        <v>103</v>
      </c>
      <c r="J113" s="633" t="s">
        <v>12</v>
      </c>
      <c r="K113" s="633" t="s">
        <v>103</v>
      </c>
      <c r="L113" s="633" t="s">
        <v>12</v>
      </c>
      <c r="M113" s="633" t="s">
        <v>103</v>
      </c>
    </row>
    <row r="114" spans="1:13" s="59" customFormat="1" ht="14.25" customHeight="1" x14ac:dyDescent="0.2">
      <c r="A114" s="636" t="s">
        <v>63</v>
      </c>
      <c r="B114" s="460" t="str">
        <f>B65</f>
        <v>Encargos previdenciários, FGTS e outras contribuições</v>
      </c>
      <c r="C114" s="460"/>
      <c r="D114" s="429"/>
      <c r="E114" s="429"/>
      <c r="F114" s="461">
        <f t="shared" ref="F114:K114" si="21">F74</f>
        <v>0.35930000000000001</v>
      </c>
      <c r="G114" s="449">
        <f t="shared" si="21"/>
        <v>997.39</v>
      </c>
      <c r="H114" s="461">
        <f t="shared" si="21"/>
        <v>0.35930000000000001</v>
      </c>
      <c r="I114" s="449">
        <f t="shared" si="21"/>
        <v>997.39</v>
      </c>
      <c r="J114" s="461">
        <f t="shared" si="21"/>
        <v>0.35930000000000001</v>
      </c>
      <c r="K114" s="449">
        <f t="shared" si="21"/>
        <v>1039.3900000000001</v>
      </c>
      <c r="L114" s="461">
        <f t="shared" ref="L114:L119" si="22">H114</f>
        <v>0.35930000000000001</v>
      </c>
      <c r="M114" s="449">
        <f>M74</f>
        <v>1039.3900000000001</v>
      </c>
    </row>
    <row r="115" spans="1:13" s="59" customFormat="1" ht="14.25" customHeight="1" x14ac:dyDescent="0.2">
      <c r="A115" s="636" t="s">
        <v>70</v>
      </c>
      <c r="B115" s="460" t="str">
        <f>B77</f>
        <v xml:space="preserve">13º (décimo terceiro) Salário </v>
      </c>
      <c r="C115" s="460"/>
      <c r="D115" s="429"/>
      <c r="E115" s="429"/>
      <c r="F115" s="461">
        <f t="shared" ref="F115:K115" si="23">F82</f>
        <v>0.151</v>
      </c>
      <c r="G115" s="449">
        <f t="shared" si="23"/>
        <v>419.16</v>
      </c>
      <c r="H115" s="461">
        <f t="shared" si="23"/>
        <v>0.151</v>
      </c>
      <c r="I115" s="449">
        <f t="shared" si="23"/>
        <v>419.16</v>
      </c>
      <c r="J115" s="461">
        <f t="shared" si="23"/>
        <v>0.151</v>
      </c>
      <c r="K115" s="449">
        <f t="shared" si="23"/>
        <v>436.81</v>
      </c>
      <c r="L115" s="461">
        <f t="shared" si="22"/>
        <v>0.151</v>
      </c>
      <c r="M115" s="449">
        <f>M82</f>
        <v>436.81</v>
      </c>
    </row>
    <row r="116" spans="1:13" s="59" customFormat="1" ht="14.25" customHeight="1" x14ac:dyDescent="0.2">
      <c r="A116" s="636" t="s">
        <v>72</v>
      </c>
      <c r="B116" s="460" t="str">
        <f>B85</f>
        <v>Afastamento Maternidade</v>
      </c>
      <c r="C116" s="460"/>
      <c r="D116" s="429"/>
      <c r="E116" s="429"/>
      <c r="F116" s="461">
        <f t="shared" ref="F116:K116" si="24">F88</f>
        <v>0</v>
      </c>
      <c r="G116" s="449">
        <f t="shared" si="24"/>
        <v>0</v>
      </c>
      <c r="H116" s="461">
        <f t="shared" si="24"/>
        <v>0</v>
      </c>
      <c r="I116" s="449">
        <f t="shared" si="24"/>
        <v>0</v>
      </c>
      <c r="J116" s="461">
        <f t="shared" si="24"/>
        <v>0</v>
      </c>
      <c r="K116" s="449">
        <f t="shared" si="24"/>
        <v>0</v>
      </c>
      <c r="L116" s="461">
        <f t="shared" si="22"/>
        <v>0</v>
      </c>
      <c r="M116" s="449">
        <f>M88</f>
        <v>0</v>
      </c>
    </row>
    <row r="117" spans="1:13" s="59" customFormat="1" ht="14.25" customHeight="1" x14ac:dyDescent="0.2">
      <c r="A117" s="636" t="s">
        <v>74</v>
      </c>
      <c r="B117" s="460" t="str">
        <f>B91</f>
        <v>Provisão para Rescisão</v>
      </c>
      <c r="C117" s="460"/>
      <c r="D117" s="429"/>
      <c r="E117" s="429"/>
      <c r="F117" s="461">
        <f t="shared" ref="F117:K117" si="25">F98</f>
        <v>8.2100000000000006E-2</v>
      </c>
      <c r="G117" s="449">
        <f t="shared" si="25"/>
        <v>227.89</v>
      </c>
      <c r="H117" s="461">
        <f t="shared" si="25"/>
        <v>5.0500000000000003E-2</v>
      </c>
      <c r="I117" s="449">
        <f t="shared" si="25"/>
        <v>140.18</v>
      </c>
      <c r="J117" s="461">
        <f t="shared" si="25"/>
        <v>8.2100000000000006E-2</v>
      </c>
      <c r="K117" s="449">
        <f t="shared" si="25"/>
        <v>237.5</v>
      </c>
      <c r="L117" s="461">
        <f t="shared" si="22"/>
        <v>5.0500000000000003E-2</v>
      </c>
      <c r="M117" s="449">
        <f>M98</f>
        <v>146.09</v>
      </c>
    </row>
    <row r="118" spans="1:13" s="59" customFormat="1" ht="14.25" customHeight="1" x14ac:dyDescent="0.2">
      <c r="A118" s="636" t="s">
        <v>77</v>
      </c>
      <c r="B118" s="637" t="str">
        <f>B101</f>
        <v>Composição do Custo de Reposição do Profissional Ausente</v>
      </c>
      <c r="C118" s="637"/>
      <c r="D118" s="429"/>
      <c r="E118" s="429"/>
      <c r="F118" s="461">
        <f t="shared" ref="F118:K118" si="26">F110</f>
        <v>0.14219999999999999</v>
      </c>
      <c r="G118" s="449">
        <f t="shared" si="26"/>
        <v>394.72</v>
      </c>
      <c r="H118" s="461">
        <f t="shared" si="26"/>
        <v>0.14219999999999999</v>
      </c>
      <c r="I118" s="449">
        <f t="shared" si="26"/>
        <v>394.72</v>
      </c>
      <c r="J118" s="461">
        <f t="shared" si="26"/>
        <v>0.14219999999999999</v>
      </c>
      <c r="K118" s="449">
        <f t="shared" si="26"/>
        <v>411.36</v>
      </c>
      <c r="L118" s="461">
        <f t="shared" si="22"/>
        <v>0.14219999999999999</v>
      </c>
      <c r="M118" s="449">
        <f>M110</f>
        <v>411.36</v>
      </c>
    </row>
    <row r="119" spans="1:13" s="59" customFormat="1" ht="14.25" customHeight="1" x14ac:dyDescent="0.2">
      <c r="A119" s="636" t="s">
        <v>131</v>
      </c>
      <c r="B119" s="637" t="s">
        <v>81</v>
      </c>
      <c r="C119" s="637"/>
      <c r="D119" s="429"/>
      <c r="E119" s="429"/>
      <c r="F119" s="461">
        <f>F112</f>
        <v>0</v>
      </c>
      <c r="G119" s="449"/>
      <c r="H119" s="461">
        <f>H112</f>
        <v>0</v>
      </c>
      <c r="I119" s="449"/>
      <c r="J119" s="461">
        <f>J112</f>
        <v>0</v>
      </c>
      <c r="K119" s="449"/>
      <c r="L119" s="461">
        <f t="shared" si="22"/>
        <v>0</v>
      </c>
      <c r="M119" s="449"/>
    </row>
    <row r="120" spans="1:13" s="59" customFormat="1" ht="18" customHeight="1" x14ac:dyDescent="0.2">
      <c r="A120" s="466"/>
      <c r="B120" s="834" t="s">
        <v>144</v>
      </c>
      <c r="C120" s="834"/>
      <c r="D120" s="834"/>
      <c r="E120" s="834"/>
      <c r="F120" s="462">
        <f t="shared" ref="F120:M120" si="27">SUM(F114:F119)</f>
        <v>0.73460000000000003</v>
      </c>
      <c r="G120" s="458">
        <f t="shared" si="27"/>
        <v>2039.16</v>
      </c>
      <c r="H120" s="462">
        <f t="shared" si="27"/>
        <v>0.70299999999999996</v>
      </c>
      <c r="I120" s="458">
        <f t="shared" si="27"/>
        <v>1951.45</v>
      </c>
      <c r="J120" s="462">
        <f t="shared" si="27"/>
        <v>0.73460000000000003</v>
      </c>
      <c r="K120" s="458">
        <f t="shared" si="27"/>
        <v>2125.06</v>
      </c>
      <c r="L120" s="462">
        <f t="shared" si="27"/>
        <v>0.70299999999999996</v>
      </c>
      <c r="M120" s="458">
        <f t="shared" si="27"/>
        <v>2033.65</v>
      </c>
    </row>
    <row r="121" spans="1:13" s="59" customFormat="1" x14ac:dyDescent="0.2">
      <c r="A121" s="636"/>
      <c r="B121" s="429"/>
      <c r="C121" s="429"/>
      <c r="D121" s="429"/>
      <c r="E121" s="429"/>
      <c r="F121" s="448"/>
      <c r="G121" s="449"/>
      <c r="H121" s="448"/>
      <c r="I121" s="449"/>
      <c r="J121" s="448"/>
      <c r="K121" s="449"/>
      <c r="L121" s="448"/>
      <c r="M121" s="449"/>
    </row>
    <row r="122" spans="1:13" s="59" customFormat="1" x14ac:dyDescent="0.2">
      <c r="A122" s="832" t="s">
        <v>40</v>
      </c>
      <c r="B122" s="832"/>
      <c r="C122" s="832"/>
      <c r="D122" s="832"/>
      <c r="E122" s="832"/>
      <c r="F122" s="832"/>
      <c r="G122" s="832"/>
      <c r="H122" s="639"/>
      <c r="I122" s="639"/>
      <c r="J122" s="639"/>
      <c r="K122" s="639"/>
      <c r="L122" s="639"/>
      <c r="M122" s="639"/>
    </row>
    <row r="123" spans="1:13" s="59" customFormat="1" ht="18" customHeight="1" x14ac:dyDescent="0.2">
      <c r="A123" s="633">
        <v>5</v>
      </c>
      <c r="B123" s="835" t="s">
        <v>29</v>
      </c>
      <c r="C123" s="835"/>
      <c r="D123" s="835"/>
      <c r="E123" s="835"/>
      <c r="F123" s="633" t="s">
        <v>12</v>
      </c>
      <c r="G123" s="633" t="s">
        <v>103</v>
      </c>
      <c r="H123" s="633" t="s">
        <v>12</v>
      </c>
      <c r="I123" s="633" t="s">
        <v>103</v>
      </c>
      <c r="J123" s="633" t="s">
        <v>12</v>
      </c>
      <c r="K123" s="633" t="s">
        <v>103</v>
      </c>
      <c r="L123" s="633" t="s">
        <v>12</v>
      </c>
      <c r="M123" s="633" t="s">
        <v>103</v>
      </c>
    </row>
    <row r="124" spans="1:13" s="59" customFormat="1" x14ac:dyDescent="0.2">
      <c r="A124" s="636" t="s">
        <v>1</v>
      </c>
      <c r="B124" s="429" t="s">
        <v>30</v>
      </c>
      <c r="C124" s="429"/>
      <c r="D124" s="429"/>
      <c r="E124" s="429"/>
      <c r="F124" s="461">
        <f>DADOS!F60</f>
        <v>6.9000000000000006E-2</v>
      </c>
      <c r="G124" s="467">
        <f>G137*F124</f>
        <v>391</v>
      </c>
      <c r="H124" s="465">
        <v>6.6299999999999998E-2</v>
      </c>
      <c r="I124" s="467">
        <f>I137*H124</f>
        <v>369.88</v>
      </c>
      <c r="J124" s="461">
        <v>6.9000000000000006E-2</v>
      </c>
      <c r="K124" s="467">
        <f>K137*J124</f>
        <v>406.74</v>
      </c>
      <c r="L124" s="465">
        <f>H124</f>
        <v>6.6299999999999998E-2</v>
      </c>
      <c r="M124" s="467">
        <f>M137*L124</f>
        <v>384.61</v>
      </c>
    </row>
    <row r="125" spans="1:13" s="59" customFormat="1" x14ac:dyDescent="0.2">
      <c r="A125" s="836" t="s">
        <v>2</v>
      </c>
      <c r="B125" s="429" t="s">
        <v>23</v>
      </c>
      <c r="C125" s="429"/>
      <c r="D125" s="429"/>
      <c r="E125" s="429"/>
      <c r="F125" s="461">
        <f>SUM(F126:F127)</f>
        <v>8.6499999999999994E-2</v>
      </c>
      <c r="G125" s="467"/>
      <c r="H125" s="461">
        <f>SUM(H126:H127)</f>
        <v>8.6499999999999994E-2</v>
      </c>
      <c r="I125" s="467"/>
      <c r="J125" s="461">
        <f>SUM(J126:J127)</f>
        <v>8.6499999999999994E-2</v>
      </c>
      <c r="K125" s="467"/>
      <c r="L125" s="461">
        <f>H125</f>
        <v>8.6499999999999994E-2</v>
      </c>
      <c r="M125" s="467"/>
    </row>
    <row r="126" spans="1:13" s="59" customFormat="1" x14ac:dyDescent="0.2">
      <c r="A126" s="836"/>
      <c r="B126" s="460" t="s">
        <v>338</v>
      </c>
      <c r="C126" s="460"/>
      <c r="D126" s="429"/>
      <c r="E126" s="429"/>
      <c r="F126" s="461">
        <f>DADOS!C75+DADOS!C74</f>
        <v>3.6499999999999998E-2</v>
      </c>
      <c r="G126" s="469">
        <f>($G$137+$G$124+$G$128)/DADOS!C$77*F126</f>
        <v>251.36</v>
      </c>
      <c r="H126" s="461">
        <f>DADOS!C75+DADOS!C74</f>
        <v>3.6499999999999998E-2</v>
      </c>
      <c r="I126" s="469">
        <f>($I$137+$I$124+$I$128)/(1-H125)*H126</f>
        <v>244.82</v>
      </c>
      <c r="J126" s="461">
        <f>DADOS!C75+DADOS!C74</f>
        <v>3.6499999999999998E-2</v>
      </c>
      <c r="K126" s="469">
        <f>($K$137+$K$124+$K$128)/(1-J125)*J126</f>
        <v>261.48</v>
      </c>
      <c r="L126" s="461">
        <f>H126</f>
        <v>3.6499999999999998E-2</v>
      </c>
      <c r="M126" s="469">
        <f>($M$137+$M$124+$M$128)/(1-L125)*L126</f>
        <v>254.57</v>
      </c>
    </row>
    <row r="127" spans="1:13" s="59" customFormat="1" x14ac:dyDescent="0.2">
      <c r="A127" s="836"/>
      <c r="B127" s="460" t="s">
        <v>339</v>
      </c>
      <c r="C127" s="460"/>
      <c r="D127" s="429"/>
      <c r="E127" s="429"/>
      <c r="F127" s="461">
        <f>DADOS!C73</f>
        <v>0.05</v>
      </c>
      <c r="G127" s="469">
        <f>($G$137+$G$124+$G$128)/DADOS!C$77*F127</f>
        <v>344.33</v>
      </c>
      <c r="H127" s="461">
        <f>DADOS!C73</f>
        <v>0.05</v>
      </c>
      <c r="I127" s="469">
        <f>($I$137+$I$124+$I$128)/(1-H125)*H127</f>
        <v>335.37</v>
      </c>
      <c r="J127" s="461">
        <f>DADOS!C73</f>
        <v>0.05</v>
      </c>
      <c r="K127" s="469">
        <f>($K$137+$K$124+$K$128)/(1-J125)*J127</f>
        <v>358.19</v>
      </c>
      <c r="L127" s="461">
        <f>H127</f>
        <v>0.05</v>
      </c>
      <c r="M127" s="469">
        <f>($M$137+$M$124+$M$128)/(1-L125)*L127</f>
        <v>348.73</v>
      </c>
    </row>
    <row r="128" spans="1:13" s="59" customFormat="1" x14ac:dyDescent="0.2">
      <c r="A128" s="636" t="s">
        <v>2</v>
      </c>
      <c r="B128" s="429" t="s">
        <v>20</v>
      </c>
      <c r="C128" s="429"/>
      <c r="D128" s="429"/>
      <c r="E128" s="429"/>
      <c r="F128" s="461">
        <f>DADOS!F61</f>
        <v>3.85E-2</v>
      </c>
      <c r="G128" s="470">
        <f>(G137+G124)*F128</f>
        <v>233.22</v>
      </c>
      <c r="H128" s="465">
        <v>0.03</v>
      </c>
      <c r="I128" s="470">
        <f>(I137+I124)*H128</f>
        <v>178.46</v>
      </c>
      <c r="J128" s="461">
        <v>3.85E-2</v>
      </c>
      <c r="K128" s="470">
        <f>(K137+K124)*J128</f>
        <v>242.61</v>
      </c>
      <c r="L128" s="465">
        <f>H128</f>
        <v>0.03</v>
      </c>
      <c r="M128" s="470">
        <f>(M137+M124)*L128</f>
        <v>185.57</v>
      </c>
    </row>
    <row r="129" spans="1:13" s="59" customFormat="1" ht="18" customHeight="1" x14ac:dyDescent="0.2">
      <c r="A129" s="840" t="s">
        <v>337</v>
      </c>
      <c r="B129" s="840"/>
      <c r="C129" s="840"/>
      <c r="D129" s="840"/>
      <c r="E129" s="840"/>
      <c r="F129" s="840"/>
      <c r="G129" s="471">
        <f>G124+G126+G127+G128</f>
        <v>1219.9100000000001</v>
      </c>
      <c r="H129" s="471"/>
      <c r="I129" s="471">
        <f>I124+I126+I127+I128</f>
        <v>1128.53</v>
      </c>
      <c r="J129" s="471"/>
      <c r="K129" s="471">
        <f>K124+K126+K127+K128</f>
        <v>1269.02</v>
      </c>
      <c r="L129" s="471"/>
      <c r="M129" s="471">
        <f>M124+M126+M127+M128</f>
        <v>1173.48</v>
      </c>
    </row>
    <row r="130" spans="1:13" s="59" customFormat="1" x14ac:dyDescent="0.2">
      <c r="A130" s="632"/>
      <c r="B130" s="632"/>
      <c r="C130" s="632"/>
      <c r="D130" s="632"/>
      <c r="E130" s="632"/>
      <c r="F130" s="632"/>
      <c r="G130" s="472"/>
      <c r="H130" s="632"/>
      <c r="I130" s="472"/>
      <c r="J130" s="632"/>
      <c r="K130" s="472"/>
      <c r="L130" s="632"/>
      <c r="M130" s="472"/>
    </row>
    <row r="131" spans="1:13" s="59" customFormat="1" x14ac:dyDescent="0.2">
      <c r="A131" s="832" t="s">
        <v>340</v>
      </c>
      <c r="B131" s="832"/>
      <c r="C131" s="832"/>
      <c r="D131" s="832"/>
      <c r="E131" s="832"/>
      <c r="F131" s="832"/>
      <c r="G131" s="832"/>
      <c r="H131" s="639"/>
      <c r="I131" s="639"/>
      <c r="J131" s="639"/>
      <c r="K131" s="639"/>
      <c r="L131" s="639"/>
      <c r="M131" s="639"/>
    </row>
    <row r="132" spans="1:13" s="59" customFormat="1" ht="16.5" customHeight="1" x14ac:dyDescent="0.2">
      <c r="A132" s="832" t="s">
        <v>341</v>
      </c>
      <c r="B132" s="832"/>
      <c r="C132" s="832"/>
      <c r="D132" s="832"/>
      <c r="E132" s="832"/>
      <c r="F132" s="832"/>
      <c r="G132" s="633" t="s">
        <v>162</v>
      </c>
      <c r="H132" s="633"/>
      <c r="I132" s="633" t="s">
        <v>162</v>
      </c>
      <c r="J132" s="633"/>
      <c r="K132" s="633" t="s">
        <v>162</v>
      </c>
      <c r="L132" s="633"/>
      <c r="M132" s="633" t="s">
        <v>162</v>
      </c>
    </row>
    <row r="133" spans="1:13" s="59" customFormat="1" ht="14.25" customHeight="1" x14ac:dyDescent="0.2">
      <c r="A133" s="636" t="s">
        <v>1</v>
      </c>
      <c r="B133" s="637" t="s">
        <v>420</v>
      </c>
      <c r="C133" s="637"/>
      <c r="D133" s="632"/>
      <c r="E133" s="632"/>
      <c r="F133" s="448"/>
      <c r="G133" s="449">
        <f>G40</f>
        <v>2775.88</v>
      </c>
      <c r="H133" s="448"/>
      <c r="I133" s="449">
        <f>I40</f>
        <v>2775.88</v>
      </c>
      <c r="J133" s="448"/>
      <c r="K133" s="449">
        <f>K40</f>
        <v>2892.8</v>
      </c>
      <c r="L133" s="448"/>
      <c r="M133" s="449">
        <f>M40</f>
        <v>2892.8</v>
      </c>
    </row>
    <row r="134" spans="1:13" s="59" customFormat="1" ht="14.25" customHeight="1" x14ac:dyDescent="0.2">
      <c r="A134" s="636" t="s">
        <v>2</v>
      </c>
      <c r="B134" s="637" t="s">
        <v>421</v>
      </c>
      <c r="C134" s="637"/>
      <c r="D134" s="632"/>
      <c r="E134" s="632"/>
      <c r="F134" s="448"/>
      <c r="G134" s="449">
        <f>G54</f>
        <v>575.83000000000004</v>
      </c>
      <c r="H134" s="448"/>
      <c r="I134" s="449">
        <f>I54</f>
        <v>575.83000000000004</v>
      </c>
      <c r="J134" s="448"/>
      <c r="K134" s="449">
        <f>K54</f>
        <v>601.09</v>
      </c>
      <c r="L134" s="448"/>
      <c r="M134" s="449">
        <f>M54</f>
        <v>601.09</v>
      </c>
    </row>
    <row r="135" spans="1:13" s="59" customFormat="1" ht="14.25" customHeight="1" x14ac:dyDescent="0.2">
      <c r="A135" s="636" t="s">
        <v>4</v>
      </c>
      <c r="B135" s="637" t="s">
        <v>422</v>
      </c>
      <c r="C135" s="637"/>
      <c r="D135" s="632"/>
      <c r="E135" s="632"/>
      <c r="F135" s="448"/>
      <c r="G135" s="449">
        <f>G61</f>
        <v>275.79000000000002</v>
      </c>
      <c r="H135" s="448"/>
      <c r="I135" s="449">
        <f>I61</f>
        <v>275.79000000000002</v>
      </c>
      <c r="J135" s="448"/>
      <c r="K135" s="449">
        <f>K61</f>
        <v>275.79000000000002</v>
      </c>
      <c r="L135" s="448"/>
      <c r="M135" s="449">
        <f>M61</f>
        <v>273.55</v>
      </c>
    </row>
    <row r="136" spans="1:13" s="59" customFormat="1" ht="14.25" customHeight="1" x14ac:dyDescent="0.2">
      <c r="A136" s="636" t="s">
        <v>5</v>
      </c>
      <c r="B136" s="637" t="s">
        <v>423</v>
      </c>
      <c r="C136" s="637"/>
      <c r="D136" s="632"/>
      <c r="E136" s="632"/>
      <c r="F136" s="448"/>
      <c r="G136" s="449">
        <f>G120</f>
        <v>2039.16</v>
      </c>
      <c r="H136" s="448"/>
      <c r="I136" s="449">
        <f>I120</f>
        <v>1951.45</v>
      </c>
      <c r="J136" s="448"/>
      <c r="K136" s="449">
        <f>K120</f>
        <v>2125.06</v>
      </c>
      <c r="L136" s="448"/>
      <c r="M136" s="449">
        <f>M120</f>
        <v>2033.65</v>
      </c>
    </row>
    <row r="137" spans="1:13" s="59" customFormat="1" x14ac:dyDescent="0.2">
      <c r="A137" s="867" t="s">
        <v>114</v>
      </c>
      <c r="B137" s="867"/>
      <c r="C137" s="867"/>
      <c r="D137" s="867"/>
      <c r="E137" s="867"/>
      <c r="F137" s="867"/>
      <c r="G137" s="449">
        <f>SUM(G133:G136)</f>
        <v>5666.66</v>
      </c>
      <c r="H137" s="449"/>
      <c r="I137" s="449">
        <f>SUM(I133:I136)</f>
        <v>5578.95</v>
      </c>
      <c r="J137" s="449"/>
      <c r="K137" s="449">
        <f>SUM(K133:K136)</f>
        <v>5894.74</v>
      </c>
      <c r="L137" s="449"/>
      <c r="M137" s="449">
        <f>SUM(M133:M136)</f>
        <v>5801.09</v>
      </c>
    </row>
    <row r="138" spans="1:13" s="59" customFormat="1" ht="14.25" customHeight="1" x14ac:dyDescent="0.2">
      <c r="A138" s="636" t="s">
        <v>6</v>
      </c>
      <c r="B138" s="637" t="s">
        <v>424</v>
      </c>
      <c r="C138" s="637"/>
      <c r="D138" s="632"/>
      <c r="E138" s="632"/>
      <c r="F138" s="448"/>
      <c r="G138" s="449">
        <f>G129</f>
        <v>1219.9100000000001</v>
      </c>
      <c r="H138" s="448"/>
      <c r="I138" s="449">
        <f>I129</f>
        <v>1128.53</v>
      </c>
      <c r="J138" s="448"/>
      <c r="K138" s="449">
        <f>K129</f>
        <v>1269.02</v>
      </c>
      <c r="L138" s="448"/>
      <c r="M138" s="449">
        <f>M129</f>
        <v>1173.48</v>
      </c>
    </row>
    <row r="139" spans="1:13" s="59" customFormat="1" ht="15.75" customHeight="1" x14ac:dyDescent="0.2">
      <c r="A139" s="840" t="s">
        <v>342</v>
      </c>
      <c r="B139" s="840"/>
      <c r="C139" s="840"/>
      <c r="D139" s="840"/>
      <c r="E139" s="840"/>
      <c r="F139" s="840"/>
      <c r="G139" s="473">
        <f>SUM(G137:G138)</f>
        <v>6886.57</v>
      </c>
      <c r="H139" s="473"/>
      <c r="I139" s="473">
        <f>SUM(I137:I138)</f>
        <v>6707.48</v>
      </c>
      <c r="J139" s="473"/>
      <c r="K139" s="473">
        <f>SUM(K137:K138)</f>
        <v>7163.76</v>
      </c>
      <c r="L139" s="473"/>
      <c r="M139" s="473">
        <f>SUM(M137:M138)</f>
        <v>6974.57</v>
      </c>
    </row>
    <row r="140" spans="1:13" s="64" customFormat="1" x14ac:dyDescent="0.2">
      <c r="A140" s="24"/>
      <c r="B140" s="34"/>
      <c r="C140" s="34"/>
      <c r="D140" s="34"/>
      <c r="E140" s="34"/>
      <c r="F140" s="35"/>
      <c r="G140" s="36">
        <v>6886.57</v>
      </c>
      <c r="H140" s="35"/>
      <c r="I140" s="36">
        <v>6707.48</v>
      </c>
      <c r="J140" s="35"/>
      <c r="K140" s="36"/>
    </row>
    <row r="141" spans="1:13" s="59" customFormat="1" x14ac:dyDescent="0.2">
      <c r="A141" s="22"/>
      <c r="B141" s="22"/>
      <c r="C141" s="22"/>
      <c r="D141" s="22"/>
      <c r="E141" s="22"/>
      <c r="F141" s="22"/>
      <c r="G141" s="23"/>
      <c r="H141" s="22"/>
      <c r="I141" s="23"/>
      <c r="J141" s="22"/>
      <c r="K141" s="23"/>
    </row>
    <row r="142" spans="1:13" s="59" customFormat="1" x14ac:dyDescent="0.2">
      <c r="A142" s="22"/>
      <c r="B142" s="22"/>
      <c r="C142" s="22"/>
      <c r="D142" s="22"/>
      <c r="E142" s="22"/>
      <c r="F142" s="22"/>
      <c r="G142" s="23"/>
      <c r="H142" s="22"/>
      <c r="I142" s="23"/>
      <c r="J142" s="22"/>
      <c r="K142" s="23"/>
    </row>
    <row r="143" spans="1:13" s="59" customFormat="1" x14ac:dyDescent="0.2">
      <c r="A143" s="22"/>
      <c r="B143" s="22"/>
      <c r="C143" s="22"/>
      <c r="D143" s="22"/>
      <c r="E143" s="22"/>
      <c r="F143" s="22"/>
      <c r="G143" s="23"/>
      <c r="H143" s="22"/>
      <c r="I143" s="23"/>
      <c r="J143" s="22"/>
      <c r="K143" s="23"/>
    </row>
    <row r="144" spans="1:13" s="59" customFormat="1" x14ac:dyDescent="0.2">
      <c r="A144" s="22"/>
      <c r="B144" s="22"/>
      <c r="C144" s="22"/>
      <c r="D144" s="22"/>
      <c r="E144" s="22"/>
      <c r="F144" s="22"/>
      <c r="G144" s="23"/>
      <c r="H144" s="22"/>
      <c r="I144" s="23"/>
      <c r="J144" s="22"/>
      <c r="K144" s="23"/>
    </row>
    <row r="145" spans="1:11" s="59" customFormat="1" x14ac:dyDescent="0.2">
      <c r="A145" s="22"/>
      <c r="B145" s="22"/>
      <c r="C145" s="22"/>
      <c r="D145" s="22"/>
      <c r="E145" s="22"/>
      <c r="F145" s="22"/>
      <c r="G145" s="23"/>
      <c r="H145" s="22"/>
      <c r="I145" s="23"/>
      <c r="J145" s="22"/>
      <c r="K145" s="23"/>
    </row>
    <row r="146" spans="1:11" s="59" customFormat="1" x14ac:dyDescent="0.2">
      <c r="A146" s="22"/>
      <c r="B146" s="22"/>
      <c r="C146" s="22"/>
      <c r="D146" s="22"/>
      <c r="E146" s="22"/>
      <c r="F146" s="22"/>
      <c r="G146" s="23"/>
      <c r="H146" s="22"/>
      <c r="I146" s="23"/>
      <c r="J146" s="22"/>
      <c r="K146" s="23"/>
    </row>
    <row r="147" spans="1:11" s="59" customFormat="1" x14ac:dyDescent="0.2">
      <c r="A147" s="22"/>
      <c r="B147" s="22"/>
      <c r="C147" s="22"/>
      <c r="D147" s="22"/>
      <c r="E147" s="22"/>
      <c r="F147" s="22"/>
      <c r="G147" s="23"/>
      <c r="H147" s="22"/>
      <c r="I147" s="23"/>
      <c r="J147" s="22"/>
      <c r="K147" s="23"/>
    </row>
  </sheetData>
  <mergeCells count="105">
    <mergeCell ref="J9:K10"/>
    <mergeCell ref="L9:M10"/>
    <mergeCell ref="A11:E11"/>
    <mergeCell ref="A4:G4"/>
    <mergeCell ref="A5:G5"/>
    <mergeCell ref="F12:G12"/>
    <mergeCell ref="L12:M12"/>
    <mergeCell ref="F13:G13"/>
    <mergeCell ref="A14:A15"/>
    <mergeCell ref="B14:E15"/>
    <mergeCell ref="F14:G14"/>
    <mergeCell ref="F15:G15"/>
    <mergeCell ref="F11:G11"/>
    <mergeCell ref="F16:G16"/>
    <mergeCell ref="A17:G17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3:E33"/>
    <mergeCell ref="B38:E38"/>
    <mergeCell ref="B39:E39"/>
    <mergeCell ref="B40:F40"/>
    <mergeCell ref="A42:G42"/>
    <mergeCell ref="B43:E43"/>
    <mergeCell ref="A44:A45"/>
    <mergeCell ref="B46:E46"/>
    <mergeCell ref="B47:E47"/>
    <mergeCell ref="B48:E48"/>
    <mergeCell ref="B77:E77"/>
    <mergeCell ref="A80:E80"/>
    <mergeCell ref="B81:E81"/>
    <mergeCell ref="A82:E82"/>
    <mergeCell ref="A84:G84"/>
    <mergeCell ref="B85:E85"/>
    <mergeCell ref="A88:E88"/>
    <mergeCell ref="A90:G90"/>
    <mergeCell ref="B51:E51"/>
    <mergeCell ref="B54:F54"/>
    <mergeCell ref="A56:G56"/>
    <mergeCell ref="B57:E57"/>
    <mergeCell ref="B61:F61"/>
    <mergeCell ref="A63:G63"/>
    <mergeCell ref="A64:G64"/>
    <mergeCell ref="B65:E65"/>
    <mergeCell ref="A74:E74"/>
    <mergeCell ref="J15:K15"/>
    <mergeCell ref="H16:I16"/>
    <mergeCell ref="J16:K16"/>
    <mergeCell ref="H24:I24"/>
    <mergeCell ref="J24:K24"/>
    <mergeCell ref="B120:E120"/>
    <mergeCell ref="A137:F137"/>
    <mergeCell ref="A139:F139"/>
    <mergeCell ref="A122:G122"/>
    <mergeCell ref="B123:E123"/>
    <mergeCell ref="A125:A127"/>
    <mergeCell ref="A129:F129"/>
    <mergeCell ref="A131:G131"/>
    <mergeCell ref="A132:F132"/>
    <mergeCell ref="B91:E91"/>
    <mergeCell ref="A98:E98"/>
    <mergeCell ref="A100:G100"/>
    <mergeCell ref="B101:E101"/>
    <mergeCell ref="A108:E108"/>
    <mergeCell ref="B109:E109"/>
    <mergeCell ref="A110:E110"/>
    <mergeCell ref="A112:G112"/>
    <mergeCell ref="B113:E113"/>
    <mergeCell ref="A76:G76"/>
    <mergeCell ref="L26:M26"/>
    <mergeCell ref="L27:M27"/>
    <mergeCell ref="H11:I11"/>
    <mergeCell ref="J11:K11"/>
    <mergeCell ref="L11:M11"/>
    <mergeCell ref="H12:I12"/>
    <mergeCell ref="J12:K12"/>
    <mergeCell ref="H13:I13"/>
    <mergeCell ref="J13:K13"/>
    <mergeCell ref="H14:I14"/>
    <mergeCell ref="L13:M13"/>
    <mergeCell ref="L14:M14"/>
    <mergeCell ref="L15:M15"/>
    <mergeCell ref="L16:M16"/>
    <mergeCell ref="L24:M24"/>
    <mergeCell ref="L25:M25"/>
    <mergeCell ref="H25:I25"/>
    <mergeCell ref="J25:K25"/>
    <mergeCell ref="H26:I26"/>
    <mergeCell ref="J26:K26"/>
    <mergeCell ref="H27:I27"/>
    <mergeCell ref="J27:K27"/>
    <mergeCell ref="J14:K14"/>
    <mergeCell ref="H15:I1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1" fitToHeight="0" orientation="portrait" r:id="rId1"/>
  <headerFooter alignWithMargins="0">
    <oddHeader>&amp;L&amp;"Cambria,Negrito"&amp;8PROPOSTA Nº 011/2017 - MME</oddHeader>
  </headerFooter>
  <rowBreaks count="1" manualBreakCount="1">
    <brk id="74" max="12" man="1"/>
  </rowBreaks>
  <ignoredErrors>
    <ignoredError sqref="F18:G19 F25:G27 G45 G58 G33 G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8" tint="0.79998168889431442"/>
  </sheetPr>
  <dimension ref="A1:P147"/>
  <sheetViews>
    <sheetView tabSelected="1" view="pageBreakPreview" zoomScaleNormal="100" zoomScaleSheetLayoutView="100" workbookViewId="0">
      <pane ySplit="11" topLeftCell="A117" activePane="bottomLeft" state="frozen"/>
      <selection pane="bottomLeft" activeCell="M129" sqref="M129"/>
    </sheetView>
  </sheetViews>
  <sheetFormatPr defaultRowHeight="14.25" x14ac:dyDescent="0.2"/>
  <cols>
    <col min="1" max="1" width="5.7109375" style="22" customWidth="1"/>
    <col min="2" max="2" width="20.85546875" style="22" customWidth="1"/>
    <col min="3" max="3" width="13.7109375" style="22" customWidth="1"/>
    <col min="4" max="4" width="14.140625" style="22" customWidth="1"/>
    <col min="5" max="5" width="16" style="22" bestFit="1" customWidth="1"/>
    <col min="6" max="6" width="14.28515625" style="22" customWidth="1"/>
    <col min="7" max="7" width="17" style="23" customWidth="1"/>
    <col min="8" max="8" width="15.28515625" style="23" customWidth="1"/>
    <col min="9" max="9" width="18" style="23" bestFit="1" customWidth="1"/>
    <col min="10" max="10" width="15.28515625" style="23" customWidth="1"/>
    <col min="11" max="11" width="18" style="23" bestFit="1" customWidth="1"/>
    <col min="12" max="12" width="15.28515625" style="23" customWidth="1"/>
    <col min="13" max="13" width="18" style="59" bestFit="1" customWidth="1"/>
    <col min="14" max="14" width="12.85546875" style="59" bestFit="1" customWidth="1"/>
    <col min="15" max="15" width="9.140625" style="59"/>
    <col min="16" max="17" width="9.140625" style="58"/>
    <col min="18" max="18" width="9.140625" style="58" customWidth="1"/>
    <col min="19" max="16384" width="9.140625" style="58"/>
  </cols>
  <sheetData>
    <row r="1" spans="1:13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3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</row>
    <row r="3" spans="1:13" x14ac:dyDescent="0.2">
      <c r="A3" s="21"/>
    </row>
    <row r="4" spans="1:13" s="59" customFormat="1" x14ac:dyDescent="0.2">
      <c r="A4" s="818" t="s">
        <v>359</v>
      </c>
      <c r="B4" s="818"/>
      <c r="C4" s="818"/>
      <c r="D4" s="818"/>
      <c r="E4" s="818"/>
      <c r="F4" s="818"/>
      <c r="G4" s="818"/>
      <c r="H4" s="629"/>
      <c r="I4" s="629"/>
      <c r="J4" s="418"/>
      <c r="K4" s="418"/>
      <c r="L4" s="418"/>
    </row>
    <row r="5" spans="1:13" s="59" customFormat="1" ht="15.75" customHeight="1" x14ac:dyDescent="0.2">
      <c r="A5" s="818" t="str">
        <f>DADOS!A19</f>
        <v>PLANILHA DE CUSTOS E FORMAÇÃO DE PREÇOS - MME</v>
      </c>
      <c r="B5" s="818"/>
      <c r="C5" s="818"/>
      <c r="D5" s="818"/>
      <c r="E5" s="818"/>
      <c r="F5" s="818"/>
      <c r="G5" s="818"/>
      <c r="H5" s="629"/>
      <c r="I5" s="629"/>
      <c r="J5" s="418"/>
      <c r="K5" s="418"/>
      <c r="L5" s="418"/>
    </row>
    <row r="6" spans="1:13" s="59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s="59" customFormat="1" ht="15.75" customHeight="1" x14ac:dyDescent="0.2">
      <c r="A7" s="37" t="str">
        <f>DADOS!A3&amp;  " " &amp;DADOS!C3</f>
        <v>Processo nº 48000.001766/2016-11</v>
      </c>
      <c r="B7" s="37"/>
      <c r="C7" s="72"/>
      <c r="D7" s="72"/>
      <c r="E7" s="30"/>
      <c r="F7" s="26"/>
      <c r="G7" s="27"/>
      <c r="H7" s="27"/>
      <c r="I7" s="27"/>
      <c r="J7" s="27"/>
      <c r="K7" s="27"/>
      <c r="L7" s="27"/>
    </row>
    <row r="8" spans="1:13" s="59" customFormat="1" ht="15.75" customHeight="1" x14ac:dyDescent="0.2">
      <c r="A8" s="37" t="str">
        <f>DADOS!B8 &amp; " " &amp; DADOS!C8</f>
        <v>Pregão Eletrônico nº 001/2017</v>
      </c>
      <c r="B8" s="37"/>
      <c r="C8" s="71"/>
      <c r="D8" s="71"/>
      <c r="E8" s="30"/>
      <c r="F8" s="26"/>
      <c r="G8" s="27"/>
      <c r="H8" s="27"/>
      <c r="I8" s="27"/>
      <c r="J8" s="27"/>
      <c r="K8" s="27"/>
      <c r="L8" s="27"/>
    </row>
    <row r="9" spans="1:13" s="59" customFormat="1" ht="15.75" customHeight="1" x14ac:dyDescent="0.2">
      <c r="A9" s="28" t="s">
        <v>301</v>
      </c>
      <c r="B9" s="54"/>
      <c r="C9" s="54"/>
      <c r="D9" s="29"/>
      <c r="E9" s="30"/>
      <c r="F9" s="31"/>
      <c r="G9" s="32"/>
      <c r="H9" s="32"/>
      <c r="I9" s="32"/>
      <c r="J9" s="869" t="s">
        <v>425</v>
      </c>
      <c r="K9" s="869"/>
      <c r="L9" s="869" t="s">
        <v>426</v>
      </c>
      <c r="M9" s="869"/>
    </row>
    <row r="10" spans="1:13" s="59" customFormat="1" ht="75.75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869"/>
      <c r="K10" s="869"/>
      <c r="L10" s="869"/>
      <c r="M10" s="869"/>
    </row>
    <row r="11" spans="1:13" s="59" customFormat="1" ht="53.25" customHeight="1" thickBot="1" x14ac:dyDescent="0.25">
      <c r="A11" s="821" t="s">
        <v>138</v>
      </c>
      <c r="B11" s="857"/>
      <c r="C11" s="857"/>
      <c r="D11" s="857"/>
      <c r="E11" s="823"/>
      <c r="F11" s="858" t="s">
        <v>417</v>
      </c>
      <c r="G11" s="859"/>
      <c r="H11" s="860" t="s">
        <v>415</v>
      </c>
      <c r="I11" s="861"/>
      <c r="J11" s="817" t="s">
        <v>403</v>
      </c>
      <c r="K11" s="814"/>
      <c r="L11" s="814" t="s">
        <v>404</v>
      </c>
      <c r="M11" s="814"/>
    </row>
    <row r="12" spans="1:13" s="59" customFormat="1" ht="15.75" customHeight="1" x14ac:dyDescent="0.2">
      <c r="A12" s="422" t="s">
        <v>1</v>
      </c>
      <c r="B12" s="423" t="s">
        <v>134</v>
      </c>
      <c r="C12" s="423"/>
      <c r="D12" s="424"/>
      <c r="E12" s="425"/>
      <c r="F12" s="813">
        <f>DADOS!C4</f>
        <v>42788</v>
      </c>
      <c r="G12" s="815"/>
      <c r="H12" s="813">
        <v>43158</v>
      </c>
      <c r="I12" s="815"/>
      <c r="J12" s="813">
        <v>43146</v>
      </c>
      <c r="K12" s="815"/>
      <c r="L12" s="813">
        <v>43146</v>
      </c>
      <c r="M12" s="815"/>
    </row>
    <row r="13" spans="1:13" s="59" customFormat="1" ht="15.75" customHeight="1" x14ac:dyDescent="0.2">
      <c r="A13" s="422" t="s">
        <v>2</v>
      </c>
      <c r="B13" s="424" t="s">
        <v>3</v>
      </c>
      <c r="C13" s="424"/>
      <c r="D13" s="424"/>
      <c r="E13" s="426"/>
      <c r="F13" s="813" t="str">
        <f>DADOS!C5</f>
        <v>Brasília - DF</v>
      </c>
      <c r="G13" s="815"/>
      <c r="H13" s="813" t="str">
        <f>DADOS!A5</f>
        <v>MUNICÍPIO:</v>
      </c>
      <c r="I13" s="815"/>
      <c r="J13" s="813" t="str">
        <f>DADOS!C5</f>
        <v>Brasília - DF</v>
      </c>
      <c r="K13" s="815"/>
      <c r="L13" s="813" t="str">
        <f>DADOS!C5</f>
        <v>Brasília - DF</v>
      </c>
      <c r="M13" s="815"/>
    </row>
    <row r="14" spans="1:13" s="59" customFormat="1" ht="15" customHeight="1" x14ac:dyDescent="0.2">
      <c r="A14" s="836" t="s">
        <v>4</v>
      </c>
      <c r="B14" s="837" t="s">
        <v>133</v>
      </c>
      <c r="C14" s="837"/>
      <c r="D14" s="837"/>
      <c r="E14" s="837"/>
      <c r="F14" s="815" t="str">
        <f>DADOS!H82</f>
        <v>SINDESV/SINDESP-DF</v>
      </c>
      <c r="G14" s="815"/>
      <c r="H14" s="815" t="s">
        <v>69</v>
      </c>
      <c r="I14" s="815"/>
      <c r="J14" s="815" t="s">
        <v>69</v>
      </c>
      <c r="K14" s="815"/>
      <c r="L14" s="815" t="s">
        <v>69</v>
      </c>
      <c r="M14" s="815"/>
    </row>
    <row r="15" spans="1:13" s="59" customFormat="1" ht="15" customHeight="1" x14ac:dyDescent="0.2">
      <c r="A15" s="836"/>
      <c r="B15" s="837"/>
      <c r="C15" s="837"/>
      <c r="D15" s="837"/>
      <c r="E15" s="837"/>
      <c r="F15" s="815" t="str">
        <f>DADOS!C11</f>
        <v>2016/2016</v>
      </c>
      <c r="G15" s="815"/>
      <c r="H15" s="816" t="s">
        <v>398</v>
      </c>
      <c r="I15" s="816"/>
      <c r="J15" s="816" t="s">
        <v>398</v>
      </c>
      <c r="K15" s="816"/>
      <c r="L15" s="816" t="s">
        <v>398</v>
      </c>
      <c r="M15" s="816"/>
    </row>
    <row r="16" spans="1:13" s="59" customFormat="1" ht="15" customHeight="1" x14ac:dyDescent="0.2">
      <c r="A16" s="422" t="s">
        <v>5</v>
      </c>
      <c r="B16" s="423" t="s">
        <v>135</v>
      </c>
      <c r="C16" s="423"/>
      <c r="D16" s="424"/>
      <c r="E16" s="426"/>
      <c r="F16" s="815">
        <f>DADOS!C13</f>
        <v>12</v>
      </c>
      <c r="G16" s="815"/>
      <c r="H16" s="815" t="str">
        <f>DADOS!A13</f>
        <v>Nº MESES EXEC. CONTR.:</v>
      </c>
      <c r="I16" s="815"/>
      <c r="J16" s="815">
        <f>DADOS!C13</f>
        <v>12</v>
      </c>
      <c r="K16" s="815"/>
      <c r="L16" s="815">
        <f>DADOS!C13</f>
        <v>12</v>
      </c>
      <c r="M16" s="815"/>
    </row>
    <row r="17" spans="1:13" s="59" customFormat="1" ht="16.5" customHeight="1" x14ac:dyDescent="0.2">
      <c r="A17" s="822" t="s">
        <v>117</v>
      </c>
      <c r="B17" s="822"/>
      <c r="C17" s="822"/>
      <c r="D17" s="822"/>
      <c r="E17" s="822"/>
      <c r="F17" s="822"/>
      <c r="G17" s="822"/>
      <c r="H17" s="626"/>
      <c r="I17" s="626"/>
      <c r="J17" s="430"/>
      <c r="K17" s="430"/>
      <c r="L17" s="430"/>
      <c r="M17" s="430"/>
    </row>
    <row r="18" spans="1:13" s="59" customFormat="1" ht="34.5" customHeight="1" x14ac:dyDescent="0.2">
      <c r="A18" s="431">
        <v>1</v>
      </c>
      <c r="B18" s="822" t="s">
        <v>101</v>
      </c>
      <c r="C18" s="822"/>
      <c r="D18" s="822"/>
      <c r="E18" s="432" t="s">
        <v>132</v>
      </c>
      <c r="F18" s="432" t="s">
        <v>95</v>
      </c>
      <c r="G18" s="432" t="s">
        <v>137</v>
      </c>
      <c r="H18" s="630" t="s">
        <v>95</v>
      </c>
      <c r="I18" s="630" t="s">
        <v>137</v>
      </c>
      <c r="J18" s="432" t="s">
        <v>95</v>
      </c>
      <c r="K18" s="432" t="s">
        <v>137</v>
      </c>
      <c r="L18" s="432" t="s">
        <v>95</v>
      </c>
      <c r="M18" s="432" t="s">
        <v>137</v>
      </c>
    </row>
    <row r="19" spans="1:13" s="59" customFormat="1" ht="30.75" customHeight="1" x14ac:dyDescent="0.2">
      <c r="A19" s="474" t="s">
        <v>136</v>
      </c>
      <c r="B19" s="822" t="s">
        <v>363</v>
      </c>
      <c r="C19" s="822"/>
      <c r="D19" s="822"/>
      <c r="E19" s="476" t="str">
        <f>DADOS!C12</f>
        <v>Posto de Serviço</v>
      </c>
      <c r="F19" s="477">
        <f>DADOS!J75</f>
        <v>1</v>
      </c>
      <c r="G19" s="477">
        <f>DADOS!L75</f>
        <v>2</v>
      </c>
      <c r="H19" s="477">
        <v>1</v>
      </c>
      <c r="I19" s="477">
        <v>2</v>
      </c>
      <c r="J19" s="433">
        <f>DADOS!J74</f>
        <v>6</v>
      </c>
      <c r="K19" s="433">
        <f>DADOS!L74</f>
        <v>12</v>
      </c>
      <c r="L19" s="433">
        <f>DADOS!J74</f>
        <v>6</v>
      </c>
      <c r="M19" s="433">
        <f>DADOS!L74</f>
        <v>12</v>
      </c>
    </row>
    <row r="20" spans="1:13" s="59" customFormat="1" ht="14.25" customHeight="1" x14ac:dyDescent="0.2">
      <c r="A20" s="422"/>
      <c r="B20" s="422"/>
      <c r="C20" s="422"/>
      <c r="D20" s="422"/>
      <c r="E20" s="422"/>
      <c r="F20" s="434">
        <v>1</v>
      </c>
      <c r="G20" s="435"/>
      <c r="H20" s="434">
        <v>1</v>
      </c>
      <c r="I20" s="435"/>
      <c r="J20" s="434">
        <v>1</v>
      </c>
      <c r="K20" s="435"/>
      <c r="L20" s="434">
        <v>1</v>
      </c>
      <c r="M20" s="435"/>
    </row>
    <row r="21" spans="1:13" s="59" customFormat="1" ht="14.25" customHeight="1" x14ac:dyDescent="0.2">
      <c r="A21" s="832" t="s">
        <v>309</v>
      </c>
      <c r="B21" s="832"/>
      <c r="C21" s="832"/>
      <c r="D21" s="832"/>
      <c r="E21" s="832"/>
      <c r="F21" s="832"/>
      <c r="G21" s="832"/>
      <c r="H21" s="624"/>
      <c r="I21" s="624"/>
      <c r="J21" s="437"/>
      <c r="K21" s="437"/>
      <c r="L21" s="437"/>
      <c r="M21" s="437"/>
    </row>
    <row r="22" spans="1:13" s="59" customFormat="1" ht="14.25" customHeight="1" x14ac:dyDescent="0.2">
      <c r="A22" s="820" t="s">
        <v>118</v>
      </c>
      <c r="B22" s="820"/>
      <c r="C22" s="820"/>
      <c r="D22" s="820"/>
      <c r="E22" s="820"/>
      <c r="F22" s="820"/>
      <c r="G22" s="820"/>
      <c r="H22" s="624"/>
      <c r="I22" s="624"/>
      <c r="J22" s="437"/>
      <c r="K22" s="437"/>
      <c r="L22" s="437"/>
      <c r="M22" s="437"/>
    </row>
    <row r="23" spans="1:13" s="59" customFormat="1" ht="15" customHeight="1" x14ac:dyDescent="0.2">
      <c r="A23" s="820" t="s">
        <v>182</v>
      </c>
      <c r="B23" s="820"/>
      <c r="C23" s="820"/>
      <c r="D23" s="820"/>
      <c r="E23" s="820"/>
      <c r="F23" s="820"/>
      <c r="G23" s="820"/>
      <c r="H23" s="624"/>
      <c r="I23" s="624"/>
      <c r="J23" s="437"/>
      <c r="K23" s="437"/>
      <c r="L23" s="437"/>
      <c r="M23" s="482"/>
    </row>
    <row r="24" spans="1:13" s="59" customFormat="1" ht="33" customHeight="1" x14ac:dyDescent="0.2">
      <c r="A24" s="422">
        <v>1</v>
      </c>
      <c r="B24" s="824" t="s">
        <v>101</v>
      </c>
      <c r="C24" s="824"/>
      <c r="D24" s="824"/>
      <c r="E24" s="824"/>
      <c r="F24" s="820" t="str">
        <f>B19</f>
        <v>Vigilante Noturno Desarmado - 12x36hs</v>
      </c>
      <c r="G24" s="820"/>
      <c r="H24" s="820" t="s">
        <v>363</v>
      </c>
      <c r="I24" s="820"/>
      <c r="J24" s="820" t="str">
        <f>B19</f>
        <v>Vigilante Noturno Desarmado - 12x36hs</v>
      </c>
      <c r="K24" s="820"/>
      <c r="L24" s="820" t="str">
        <f>B19</f>
        <v>Vigilante Noturno Desarmado - 12x36hs</v>
      </c>
      <c r="M24" s="820"/>
    </row>
    <row r="25" spans="1:13" s="59" customFormat="1" ht="16.5" customHeight="1" x14ac:dyDescent="0.2">
      <c r="A25" s="422">
        <v>2</v>
      </c>
      <c r="B25" s="824" t="s">
        <v>102</v>
      </c>
      <c r="C25" s="824"/>
      <c r="D25" s="824"/>
      <c r="E25" s="824"/>
      <c r="F25" s="868">
        <f>DADOS!M75</f>
        <v>1888.29</v>
      </c>
      <c r="G25" s="868"/>
      <c r="H25" s="825">
        <v>1888.29</v>
      </c>
      <c r="I25" s="825"/>
      <c r="J25" s="865">
        <v>2012.54</v>
      </c>
      <c r="K25" s="865"/>
      <c r="L25" s="865">
        <v>2012.54</v>
      </c>
      <c r="M25" s="865"/>
    </row>
    <row r="26" spans="1:13" s="59" customFormat="1" ht="60" customHeight="1" x14ac:dyDescent="0.2">
      <c r="A26" s="422">
        <v>3</v>
      </c>
      <c r="B26" s="824" t="s">
        <v>10</v>
      </c>
      <c r="C26" s="824"/>
      <c r="D26" s="824"/>
      <c r="E26" s="824"/>
      <c r="F26" s="812" t="str">
        <f>DADOS!H75</f>
        <v>Vigilante Noturno Desarmado - 12 horas de segunda-feira a domingo, envolvendo 2 (dois) vigilantes em turnos de 12x36hs</v>
      </c>
      <c r="G26" s="812"/>
      <c r="H26" s="812" t="s">
        <v>236</v>
      </c>
      <c r="I26" s="812"/>
      <c r="J26" s="812" t="str">
        <f>DADOS!H75</f>
        <v>Vigilante Noturno Desarmado - 12 horas de segunda-feira a domingo, envolvendo 2 (dois) vigilantes em turnos de 12x36hs</v>
      </c>
      <c r="K26" s="812"/>
      <c r="L26" s="812" t="str">
        <f>DADOS!H75</f>
        <v>Vigilante Noturno Desarmado - 12 horas de segunda-feira a domingo, envolvendo 2 (dois) vigilantes em turnos de 12x36hs</v>
      </c>
      <c r="M26" s="812"/>
    </row>
    <row r="27" spans="1:13" s="59" customFormat="1" ht="16.5" customHeight="1" x14ac:dyDescent="0.2">
      <c r="A27" s="422">
        <v>4</v>
      </c>
      <c r="B27" s="824" t="s">
        <v>11</v>
      </c>
      <c r="C27" s="824"/>
      <c r="D27" s="824"/>
      <c r="E27" s="824"/>
      <c r="F27" s="813" t="str">
        <f>DADOS!M82</f>
        <v>1º de Janeiro</v>
      </c>
      <c r="G27" s="813"/>
      <c r="H27" s="813" t="s">
        <v>311</v>
      </c>
      <c r="I27" s="813"/>
      <c r="J27" s="813" t="str">
        <f>DADOS!M82</f>
        <v>1º de Janeiro</v>
      </c>
      <c r="K27" s="813"/>
      <c r="L27" s="813" t="str">
        <f>DADOS!M82</f>
        <v>1º de Janeiro</v>
      </c>
      <c r="M27" s="813"/>
    </row>
    <row r="28" spans="1:13" s="59" customFormat="1" x14ac:dyDescent="0.2">
      <c r="A28" s="429"/>
      <c r="B28" s="429"/>
      <c r="C28" s="429"/>
      <c r="D28" s="429"/>
      <c r="E28" s="429"/>
      <c r="F28" s="429"/>
      <c r="G28" s="480"/>
      <c r="H28" s="429"/>
      <c r="I28" s="627"/>
      <c r="J28" s="429"/>
      <c r="K28" s="427"/>
      <c r="L28" s="429"/>
      <c r="M28" s="427"/>
    </row>
    <row r="29" spans="1:13" s="60" customFormat="1" x14ac:dyDescent="0.2">
      <c r="A29" s="820" t="s">
        <v>36</v>
      </c>
      <c r="B29" s="820"/>
      <c r="C29" s="820"/>
      <c r="D29" s="820"/>
      <c r="E29" s="820"/>
      <c r="F29" s="820"/>
      <c r="G29" s="820"/>
      <c r="H29" s="624"/>
      <c r="I29" s="624"/>
      <c r="J29" s="437"/>
      <c r="K29" s="437"/>
      <c r="L29" s="437"/>
      <c r="M29" s="437"/>
    </row>
    <row r="30" spans="1:13" s="59" customFormat="1" ht="18" customHeight="1" x14ac:dyDescent="0.2">
      <c r="A30" s="436">
        <v>1</v>
      </c>
      <c r="B30" s="831" t="s">
        <v>104</v>
      </c>
      <c r="C30" s="831"/>
      <c r="D30" s="831"/>
      <c r="E30" s="831"/>
      <c r="F30" s="436" t="s">
        <v>13</v>
      </c>
      <c r="G30" s="436" t="s">
        <v>141</v>
      </c>
      <c r="H30" s="625" t="s">
        <v>13</v>
      </c>
      <c r="I30" s="625" t="s">
        <v>141</v>
      </c>
      <c r="J30" s="643" t="s">
        <v>13</v>
      </c>
      <c r="K30" s="643" t="s">
        <v>141</v>
      </c>
      <c r="L30" s="643" t="s">
        <v>13</v>
      </c>
      <c r="M30" s="643" t="s">
        <v>141</v>
      </c>
    </row>
    <row r="31" spans="1:13" s="59" customFormat="1" ht="13.5" customHeight="1" x14ac:dyDescent="0.2">
      <c r="A31" s="438" t="s">
        <v>1</v>
      </c>
      <c r="B31" s="423" t="s">
        <v>181</v>
      </c>
      <c r="C31" s="423"/>
      <c r="D31" s="423"/>
      <c r="E31" s="423"/>
      <c r="F31" s="439"/>
      <c r="G31" s="440">
        <f>$F$25*F20</f>
        <v>1888.29</v>
      </c>
      <c r="H31" s="439"/>
      <c r="I31" s="440">
        <f>H25</f>
        <v>1888.29</v>
      </c>
      <c r="J31" s="439"/>
      <c r="K31" s="440">
        <f>J25</f>
        <v>2012.54</v>
      </c>
      <c r="L31" s="439"/>
      <c r="M31" s="440">
        <f>$L$25</f>
        <v>2012.54</v>
      </c>
    </row>
    <row r="32" spans="1:13" s="59" customFormat="1" hidden="1" x14ac:dyDescent="0.2">
      <c r="A32" s="438" t="s">
        <v>2</v>
      </c>
      <c r="B32" s="423" t="str">
        <f>DADOS!A26</f>
        <v>Adicional Motorizado - Cláusula 3ª, alínea "f" da CCT</v>
      </c>
      <c r="C32" s="423"/>
      <c r="D32" s="423"/>
      <c r="E32" s="423"/>
      <c r="F32" s="439">
        <f>DADOS!D26</f>
        <v>0.1</v>
      </c>
      <c r="G32" s="441"/>
      <c r="H32" s="439">
        <f>DADOS!D27</f>
        <v>1.5</v>
      </c>
      <c r="I32" s="441"/>
      <c r="J32" s="439">
        <f>DADOS!H26</f>
        <v>0</v>
      </c>
      <c r="K32" s="441"/>
      <c r="L32" s="439">
        <f>DADOS!J26</f>
        <v>0</v>
      </c>
      <c r="M32" s="441"/>
    </row>
    <row r="33" spans="1:16" s="59" customFormat="1" ht="31.5" customHeight="1" x14ac:dyDescent="0.2">
      <c r="A33" s="438" t="s">
        <v>2</v>
      </c>
      <c r="B33" s="819" t="str">
        <f>DADOS!A25</f>
        <v>Adicional de Periculosidade/Risco de Vida - (Lei nº 12.740/2012 e Cláusula 3ª § 4º da CCT/2016)</v>
      </c>
      <c r="C33" s="819"/>
      <c r="D33" s="819"/>
      <c r="E33" s="819"/>
      <c r="F33" s="439">
        <f>DADOS!D25</f>
        <v>0.3</v>
      </c>
      <c r="G33" s="443">
        <f>(G31+G32)*F33</f>
        <v>566.49</v>
      </c>
      <c r="H33" s="439">
        <v>0.3</v>
      </c>
      <c r="I33" s="443">
        <f>(I31+I32)*H33</f>
        <v>566.49</v>
      </c>
      <c r="J33" s="439">
        <f>DADOS!D25</f>
        <v>0.3</v>
      </c>
      <c r="K33" s="443">
        <f>(K31)*J33</f>
        <v>603.76</v>
      </c>
      <c r="L33" s="439">
        <v>0.3</v>
      </c>
      <c r="M33" s="443">
        <f>(M31)*L33</f>
        <v>603.76</v>
      </c>
    </row>
    <row r="34" spans="1:16" s="59" customFormat="1" ht="28.5" x14ac:dyDescent="0.2">
      <c r="A34" s="438" t="s">
        <v>4</v>
      </c>
      <c r="B34" s="424" t="s">
        <v>312</v>
      </c>
      <c r="C34" s="424"/>
      <c r="D34" s="424"/>
      <c r="E34" s="424"/>
      <c r="F34" s="439"/>
      <c r="G34" s="443"/>
      <c r="H34" s="439"/>
      <c r="I34" s="443"/>
      <c r="J34" s="439"/>
      <c r="K34" s="443"/>
      <c r="L34" s="439"/>
      <c r="M34" s="443"/>
      <c r="N34" s="74"/>
      <c r="O34" s="74"/>
    </row>
    <row r="35" spans="1:16" s="59" customFormat="1" ht="45.75" customHeight="1" x14ac:dyDescent="0.2">
      <c r="A35" s="438" t="s">
        <v>5</v>
      </c>
      <c r="B35" s="819" t="s">
        <v>364</v>
      </c>
      <c r="C35" s="819"/>
      <c r="D35" s="819"/>
      <c r="E35" s="819"/>
      <c r="F35" s="439">
        <f>DADOS!D24</f>
        <v>0.2</v>
      </c>
      <c r="G35" s="443">
        <f>((((G31+G33)/220)*F35)*(9/52.5*60)*DADOS!L23)</f>
        <v>355.78</v>
      </c>
      <c r="H35" s="439">
        <v>0.2</v>
      </c>
      <c r="I35" s="443">
        <f>((((I31+I33)/220)*H35)*(9/52.5*60)*15.5)</f>
        <v>355.78</v>
      </c>
      <c r="J35" s="439">
        <v>0.2</v>
      </c>
      <c r="K35" s="443">
        <f>((((K31+K33)/220)*J35)*(9/52.5*60)*15.5)</f>
        <v>379.19</v>
      </c>
      <c r="L35" s="439">
        <v>0.2</v>
      </c>
      <c r="M35" s="443">
        <f>((((M31+M33)/220)*L35)*(9/52.5*60)*15.5)</f>
        <v>379.19</v>
      </c>
      <c r="N35" s="74"/>
      <c r="O35" s="74"/>
    </row>
    <row r="36" spans="1:16" s="59" customFormat="1" x14ac:dyDescent="0.2">
      <c r="A36" s="438" t="s">
        <v>6</v>
      </c>
      <c r="B36" s="423" t="s">
        <v>24</v>
      </c>
      <c r="C36" s="423"/>
      <c r="D36" s="423"/>
      <c r="E36" s="423"/>
      <c r="F36" s="439"/>
      <c r="G36" s="443"/>
      <c r="H36" s="439"/>
      <c r="I36" s="443"/>
      <c r="J36" s="439"/>
      <c r="K36" s="443"/>
      <c r="L36" s="439"/>
      <c r="M36" s="443"/>
      <c r="N36" s="74"/>
      <c r="O36" s="74"/>
    </row>
    <row r="37" spans="1:16" s="59" customFormat="1" x14ac:dyDescent="0.2">
      <c r="A37" s="438" t="s">
        <v>7</v>
      </c>
      <c r="B37" s="423" t="s">
        <v>105</v>
      </c>
      <c r="C37" s="423"/>
      <c r="D37" s="423"/>
      <c r="E37" s="423"/>
      <c r="F37" s="439"/>
      <c r="G37" s="443"/>
      <c r="H37" s="439"/>
      <c r="I37" s="443"/>
      <c r="J37" s="439"/>
      <c r="K37" s="443"/>
      <c r="L37" s="439"/>
      <c r="M37" s="443"/>
      <c r="N37" s="74"/>
      <c r="O37" s="74"/>
    </row>
    <row r="38" spans="1:16" s="59" customFormat="1" ht="28.5" customHeight="1" x14ac:dyDescent="0.2">
      <c r="A38" s="438" t="s">
        <v>8</v>
      </c>
      <c r="B38" s="819" t="str">
        <f>DADOS!A28</f>
        <v xml:space="preserve">Intervalo Intrajornada - {[(Salário Base + Adicionais) ÷ 220] x 1,50 (hora extra acrescida de 50%) x 15,5 dias) </v>
      </c>
      <c r="C38" s="819"/>
      <c r="D38" s="819"/>
      <c r="E38" s="819"/>
      <c r="F38" s="445">
        <f>DADOS!D27</f>
        <v>1.5</v>
      </c>
      <c r="G38" s="443">
        <f>(((G31+G33+G35)/220)*F38)*DADOS!L23</f>
        <v>297.02999999999997</v>
      </c>
      <c r="H38" s="445">
        <f>DADOS!B27</f>
        <v>0</v>
      </c>
      <c r="I38" s="443">
        <f>(((G31+G33+G35)/220)*F38)*DADOS!L23</f>
        <v>297.02999999999997</v>
      </c>
      <c r="J38" s="651"/>
      <c r="K38" s="443">
        <f>(((K31+K33+K35)/220)*1.5)*DADOS!L23</f>
        <v>316.57</v>
      </c>
      <c r="L38" s="651"/>
      <c r="M38" s="443">
        <f>(((M31+M33+M35)/220)*1.5)*15.5</f>
        <v>316.57</v>
      </c>
    </row>
    <row r="39" spans="1:16" s="59" customFormat="1" ht="29.25" customHeight="1" x14ac:dyDescent="0.2">
      <c r="A39" s="438" t="s">
        <v>9</v>
      </c>
      <c r="B39" s="819" t="s">
        <v>315</v>
      </c>
      <c r="C39" s="819"/>
      <c r="D39" s="819"/>
      <c r="E39" s="819"/>
      <c r="F39" s="439"/>
      <c r="G39" s="443">
        <v>70.63</v>
      </c>
      <c r="H39" s="439"/>
      <c r="I39" s="443">
        <v>70.63</v>
      </c>
      <c r="J39" s="439"/>
      <c r="K39" s="654"/>
      <c r="L39" s="439"/>
      <c r="M39" s="654"/>
      <c r="N39" s="483"/>
      <c r="O39" s="61"/>
      <c r="P39" s="69"/>
    </row>
    <row r="40" spans="1:16" s="59" customFormat="1" ht="18.75" customHeight="1" x14ac:dyDescent="0.2">
      <c r="A40" s="446"/>
      <c r="B40" s="834" t="s">
        <v>139</v>
      </c>
      <c r="C40" s="834"/>
      <c r="D40" s="834"/>
      <c r="E40" s="834"/>
      <c r="F40" s="834"/>
      <c r="G40" s="478">
        <f>SUM(G31:G39)</f>
        <v>3178.22</v>
      </c>
      <c r="H40" s="447"/>
      <c r="I40" s="447">
        <f>SUM(I31:I39)</f>
        <v>3178.22</v>
      </c>
      <c r="J40" s="447"/>
      <c r="K40" s="447">
        <f>SUM(K31:K39)</f>
        <v>3312.06</v>
      </c>
      <c r="L40" s="447"/>
      <c r="M40" s="447">
        <f>SUM(M31:M39)</f>
        <v>3312.06</v>
      </c>
      <c r="N40" s="483"/>
      <c r="O40" s="61"/>
      <c r="P40" s="484"/>
    </row>
    <row r="41" spans="1:16" s="64" customFormat="1" x14ac:dyDescent="0.2">
      <c r="A41" s="427"/>
      <c r="B41" s="442"/>
      <c r="C41" s="442"/>
      <c r="D41" s="442"/>
      <c r="E41" s="442"/>
      <c r="F41" s="448"/>
      <c r="G41" s="449"/>
      <c r="H41" s="449"/>
      <c r="I41" s="449"/>
      <c r="J41" s="448"/>
      <c r="K41" s="449"/>
      <c r="L41" s="448"/>
      <c r="M41" s="449"/>
    </row>
    <row r="42" spans="1:16" s="59" customFormat="1" ht="15" customHeight="1" x14ac:dyDescent="0.2">
      <c r="A42" s="820" t="s">
        <v>37</v>
      </c>
      <c r="B42" s="820"/>
      <c r="C42" s="820"/>
      <c r="D42" s="820"/>
      <c r="E42" s="820"/>
      <c r="F42" s="820"/>
      <c r="G42" s="820"/>
      <c r="H42" s="624"/>
      <c r="I42" s="624"/>
      <c r="J42" s="642"/>
      <c r="K42" s="642"/>
      <c r="L42" s="642"/>
      <c r="M42" s="642"/>
    </row>
    <row r="43" spans="1:16" s="59" customFormat="1" ht="18" customHeight="1" x14ac:dyDescent="0.2">
      <c r="A43" s="437">
        <v>2</v>
      </c>
      <c r="B43" s="835" t="s">
        <v>25</v>
      </c>
      <c r="C43" s="835"/>
      <c r="D43" s="835"/>
      <c r="E43" s="835"/>
      <c r="F43" s="436" t="s">
        <v>13</v>
      </c>
      <c r="G43" s="436" t="s">
        <v>141</v>
      </c>
      <c r="H43" s="625" t="s">
        <v>13</v>
      </c>
      <c r="I43" s="625" t="s">
        <v>141</v>
      </c>
      <c r="J43" s="643" t="s">
        <v>13</v>
      </c>
      <c r="K43" s="643" t="s">
        <v>141</v>
      </c>
      <c r="L43" s="643" t="s">
        <v>13</v>
      </c>
      <c r="M43" s="643" t="s">
        <v>141</v>
      </c>
    </row>
    <row r="44" spans="1:16" s="59" customFormat="1" x14ac:dyDescent="0.2">
      <c r="A44" s="836" t="s">
        <v>1</v>
      </c>
      <c r="B44" s="428" t="str">
        <f>DADOS!A34</f>
        <v>Transporte [(R$ 5,00) x 2] x 15,5 dias - Cláusula 13ª da CCT/2016</v>
      </c>
      <c r="C44" s="428"/>
      <c r="D44" s="442"/>
      <c r="E44" s="442"/>
      <c r="F44" s="450">
        <f>DADOS!F33</f>
        <v>10</v>
      </c>
      <c r="G44" s="451">
        <f>(F44*DADOS!L23*$F$20)</f>
        <v>155</v>
      </c>
      <c r="H44" s="450">
        <f>DADOS!F33</f>
        <v>10</v>
      </c>
      <c r="I44" s="451">
        <f>G44</f>
        <v>155</v>
      </c>
      <c r="J44" s="467">
        <f>DADOS!J33</f>
        <v>0</v>
      </c>
      <c r="K44" s="451">
        <f>(5*2*15.5)</f>
        <v>155</v>
      </c>
      <c r="L44" s="467"/>
      <c r="M44" s="451">
        <f>(5*2*15.5)</f>
        <v>155</v>
      </c>
    </row>
    <row r="45" spans="1:16" s="59" customFormat="1" x14ac:dyDescent="0.2">
      <c r="A45" s="836"/>
      <c r="B45" s="428" t="s">
        <v>106</v>
      </c>
      <c r="C45" s="428"/>
      <c r="D45" s="442"/>
      <c r="E45" s="442"/>
      <c r="F45" s="452">
        <f>DADOS!F35</f>
        <v>0.06</v>
      </c>
      <c r="G45" s="453">
        <f>-MIN(G44,(F45*G31))</f>
        <v>-113.3</v>
      </c>
      <c r="H45" s="452">
        <f>F45</f>
        <v>0.06</v>
      </c>
      <c r="I45" s="453">
        <f>-MIN(I44,(H45*I31))</f>
        <v>-113.3</v>
      </c>
      <c r="J45" s="452">
        <f>DADOS!F35</f>
        <v>0.06</v>
      </c>
      <c r="K45" s="453">
        <f>-MIN(K44,(J45*K31))</f>
        <v>-120.75</v>
      </c>
      <c r="L45" s="452">
        <v>0.06</v>
      </c>
      <c r="M45" s="453">
        <f>-MIN(M44,(L45*M31))</f>
        <v>-120.75</v>
      </c>
    </row>
    <row r="46" spans="1:16" s="59" customFormat="1" ht="29.25" customHeight="1" x14ac:dyDescent="0.2">
      <c r="A46" s="427" t="s">
        <v>2</v>
      </c>
      <c r="B46" s="819" t="str">
        <f>DADOS!A38</f>
        <v>Auxílio alimentação (Tiquete refeição de R$ 32,00 x 15,5 dias efetivamente trabalhados) - Cláusula 12ª da CCT/2016</v>
      </c>
      <c r="C46" s="819"/>
      <c r="D46" s="819"/>
      <c r="E46" s="819"/>
      <c r="F46" s="450">
        <f>DADOS!F37</f>
        <v>32</v>
      </c>
      <c r="G46" s="451">
        <f>(F46*DADOS!L23)*$F$20</f>
        <v>496</v>
      </c>
      <c r="H46" s="450">
        <f>DADOS!F37</f>
        <v>32</v>
      </c>
      <c r="I46" s="451">
        <f>G46</f>
        <v>496</v>
      </c>
      <c r="J46" s="467"/>
      <c r="K46" s="655">
        <f>(34.11*15.5)</f>
        <v>528.71</v>
      </c>
      <c r="L46" s="467"/>
      <c r="M46" s="655">
        <f>15.5*34.11</f>
        <v>528.71</v>
      </c>
    </row>
    <row r="47" spans="1:16" s="59" customFormat="1" ht="28.5" customHeight="1" x14ac:dyDescent="0.2">
      <c r="A47" s="427" t="s">
        <v>4</v>
      </c>
      <c r="B47" s="833" t="str">
        <f>DADOS!A46</f>
        <v>Auxílio Saúde - Cláusula 14ª da CCT/2016 - NÃO SE APLICA CONFORME PARECER Nº 15/2014/CPLC/ DEPCONSU/PGF/AGU</v>
      </c>
      <c r="C47" s="833"/>
      <c r="D47" s="833"/>
      <c r="E47" s="833"/>
      <c r="F47" s="450">
        <f>DADOS!F46</f>
        <v>0</v>
      </c>
      <c r="G47" s="453">
        <f t="shared" ref="G47:G52" si="0">F47*$F$20</f>
        <v>0</v>
      </c>
      <c r="H47" s="450">
        <f>DADOS!F46</f>
        <v>0</v>
      </c>
      <c r="I47" s="453">
        <f>H47*$F$20</f>
        <v>0</v>
      </c>
      <c r="J47" s="467"/>
      <c r="K47" s="453">
        <f>J47*$F$20</f>
        <v>0</v>
      </c>
      <c r="L47" s="467"/>
      <c r="M47" s="453"/>
    </row>
    <row r="48" spans="1:16" s="59" customFormat="1" ht="45.75" customHeight="1" x14ac:dyDescent="0.2">
      <c r="A48" s="427" t="s">
        <v>5</v>
      </c>
      <c r="B48" s="833" t="str">
        <f>DADOS!A44</f>
        <v>Fundo Social e Odontológico - Cláusula 18ª da CCT/2016 - NÃO SE APLICA CONFORME PARECER Nº 15/2014/CPLC/ DEPCONSU/PGF/AGU, por entender que integra ao Auxílio Saúde</v>
      </c>
      <c r="C48" s="833"/>
      <c r="D48" s="833"/>
      <c r="E48" s="833"/>
      <c r="F48" s="450">
        <f>DADOS!F44</f>
        <v>0</v>
      </c>
      <c r="G48" s="453">
        <f t="shared" si="0"/>
        <v>0</v>
      </c>
      <c r="H48" s="450">
        <f>DADOS!F44</f>
        <v>0</v>
      </c>
      <c r="I48" s="453">
        <f>H48*$F$20</f>
        <v>0</v>
      </c>
      <c r="J48" s="467"/>
      <c r="K48" s="453">
        <f>J48*$F$20</f>
        <v>0</v>
      </c>
      <c r="L48" s="467"/>
      <c r="M48" s="453">
        <f>L48*$F$20</f>
        <v>0</v>
      </c>
    </row>
    <row r="49" spans="1:13" s="59" customFormat="1" x14ac:dyDescent="0.2">
      <c r="A49" s="427" t="s">
        <v>6</v>
      </c>
      <c r="B49" s="455" t="str">
        <f>DADOS!A39</f>
        <v>Fundo Ind. Aposent. Ou Doença - Cláusula 15ª da CCT/2016</v>
      </c>
      <c r="C49" s="455"/>
      <c r="D49" s="426"/>
      <c r="E49" s="429"/>
      <c r="F49" s="450">
        <f>DADOS!F39</f>
        <v>14</v>
      </c>
      <c r="G49" s="453">
        <f t="shared" si="0"/>
        <v>14</v>
      </c>
      <c r="H49" s="450">
        <f>DADOS!F39</f>
        <v>14</v>
      </c>
      <c r="I49" s="453">
        <f>G49</f>
        <v>14</v>
      </c>
      <c r="J49" s="467">
        <f>DADOS!J39</f>
        <v>0</v>
      </c>
      <c r="K49" s="453">
        <f>G49</f>
        <v>14</v>
      </c>
      <c r="L49" s="467"/>
      <c r="M49" s="453">
        <f>I49</f>
        <v>14</v>
      </c>
    </row>
    <row r="50" spans="1:13" s="59" customFormat="1" x14ac:dyDescent="0.2">
      <c r="A50" s="427" t="s">
        <v>7</v>
      </c>
      <c r="B50" s="455" t="str">
        <f>DADOS!A40</f>
        <v>Seguro de vida, inclusive invalidez - Cláusula 16ª da CCT/2016</v>
      </c>
      <c r="C50" s="455"/>
      <c r="D50" s="426"/>
      <c r="E50" s="429"/>
      <c r="F50" s="450">
        <f>DADOS!L40</f>
        <v>10.25</v>
      </c>
      <c r="G50" s="453">
        <f t="shared" si="0"/>
        <v>10.25</v>
      </c>
      <c r="H50" s="450">
        <f>DADOS!L41</f>
        <v>12.22</v>
      </c>
      <c r="I50" s="453">
        <f>G50</f>
        <v>10.25</v>
      </c>
      <c r="J50" s="467">
        <f>DADOS!P41</f>
        <v>0</v>
      </c>
      <c r="K50" s="453">
        <f>G50</f>
        <v>10.25</v>
      </c>
      <c r="L50" s="467"/>
      <c r="M50" s="453">
        <f>I50</f>
        <v>10.25</v>
      </c>
    </row>
    <row r="51" spans="1:13" s="59" customFormat="1" ht="30" customHeight="1" x14ac:dyDescent="0.2">
      <c r="A51" s="427" t="s">
        <v>8</v>
      </c>
      <c r="B51" s="833" t="str">
        <f>DADOS!A41</f>
        <v>Auxílio Funeral (Despesas de sepultamento - R$ 3.560,00 - Cláusula 16ª alínea "d" da CCT/2016</v>
      </c>
      <c r="C51" s="833"/>
      <c r="D51" s="833"/>
      <c r="E51" s="833"/>
      <c r="F51" s="450">
        <f>DADOS!F41</f>
        <v>1.8</v>
      </c>
      <c r="G51" s="453">
        <f t="shared" si="0"/>
        <v>1.8</v>
      </c>
      <c r="H51" s="450">
        <f>DADOS!F41</f>
        <v>1.8</v>
      </c>
      <c r="I51" s="453">
        <f>G51</f>
        <v>1.8</v>
      </c>
      <c r="J51" s="467">
        <f>DADOS!J41</f>
        <v>0</v>
      </c>
      <c r="K51" s="453">
        <f>G51</f>
        <v>1.8</v>
      </c>
      <c r="L51" s="467"/>
      <c r="M51" s="453">
        <f>I51</f>
        <v>1.8</v>
      </c>
    </row>
    <row r="52" spans="1:13" s="59" customFormat="1" x14ac:dyDescent="0.2">
      <c r="A52" s="427" t="s">
        <v>9</v>
      </c>
      <c r="B52" s="455" t="str">
        <f>DADOS!A42</f>
        <v>Treinamento/Capacitação/Reciclagem - Cláusula 28ª da CCT/2016</v>
      </c>
      <c r="C52" s="455"/>
      <c r="D52" s="426"/>
      <c r="E52" s="429"/>
      <c r="F52" s="450">
        <f>DADOS!F42</f>
        <v>12.08</v>
      </c>
      <c r="G52" s="453">
        <f t="shared" si="0"/>
        <v>12.08</v>
      </c>
      <c r="H52" s="450">
        <f>DADOS!F42</f>
        <v>12.08</v>
      </c>
      <c r="I52" s="453">
        <f>G52</f>
        <v>12.08</v>
      </c>
      <c r="J52" s="467">
        <f>DADOS!J42</f>
        <v>0</v>
      </c>
      <c r="K52" s="453">
        <f>G52</f>
        <v>12.08</v>
      </c>
      <c r="L52" s="467"/>
      <c r="M52" s="453">
        <f>I52</f>
        <v>12.08</v>
      </c>
    </row>
    <row r="53" spans="1:13" s="59" customFormat="1" x14ac:dyDescent="0.2">
      <c r="A53" s="427" t="s">
        <v>145</v>
      </c>
      <c r="B53" s="455" t="s">
        <v>81</v>
      </c>
      <c r="C53" s="455"/>
      <c r="D53" s="426"/>
      <c r="E53" s="429"/>
      <c r="F53" s="448"/>
      <c r="G53" s="449"/>
      <c r="H53" s="448"/>
      <c r="I53" s="449"/>
      <c r="J53" s="448"/>
      <c r="K53" s="449"/>
      <c r="L53" s="448"/>
      <c r="M53" s="449"/>
    </row>
    <row r="54" spans="1:13" s="59" customFormat="1" ht="18" customHeight="1" x14ac:dyDescent="0.2">
      <c r="A54" s="446"/>
      <c r="B54" s="834" t="s">
        <v>140</v>
      </c>
      <c r="C54" s="834"/>
      <c r="D54" s="834"/>
      <c r="E54" s="834"/>
      <c r="F54" s="834"/>
      <c r="G54" s="456">
        <f>SUM(G44:G53)</f>
        <v>575.83000000000004</v>
      </c>
      <c r="H54" s="456"/>
      <c r="I54" s="456">
        <f>SUM(I44:I53)</f>
        <v>575.83000000000004</v>
      </c>
      <c r="J54" s="456"/>
      <c r="K54" s="456">
        <f>SUM(K44:K53)</f>
        <v>601.09</v>
      </c>
      <c r="L54" s="456"/>
      <c r="M54" s="456">
        <f>SUM(M44:M53)</f>
        <v>601.09</v>
      </c>
    </row>
    <row r="55" spans="1:13" s="64" customFormat="1" x14ac:dyDescent="0.2">
      <c r="A55" s="427"/>
      <c r="B55" s="429"/>
      <c r="C55" s="429"/>
      <c r="D55" s="429"/>
      <c r="E55" s="429"/>
      <c r="F55" s="448"/>
      <c r="G55" s="449"/>
      <c r="H55" s="449"/>
      <c r="I55" s="449"/>
      <c r="J55" s="448"/>
      <c r="K55" s="449"/>
      <c r="L55" s="448"/>
      <c r="M55" s="449"/>
    </row>
    <row r="56" spans="1:13" s="59" customFormat="1" x14ac:dyDescent="0.2">
      <c r="A56" s="820" t="s">
        <v>38</v>
      </c>
      <c r="B56" s="820"/>
      <c r="C56" s="820"/>
      <c r="D56" s="820"/>
      <c r="E56" s="820"/>
      <c r="F56" s="820"/>
      <c r="G56" s="820"/>
      <c r="H56" s="624"/>
      <c r="I56" s="624"/>
      <c r="J56" s="642"/>
      <c r="K56" s="642"/>
      <c r="L56" s="642"/>
      <c r="M56" s="642"/>
    </row>
    <row r="57" spans="1:13" s="59" customFormat="1" ht="18" customHeight="1" x14ac:dyDescent="0.2">
      <c r="A57" s="436">
        <v>3</v>
      </c>
      <c r="B57" s="832" t="s">
        <v>107</v>
      </c>
      <c r="C57" s="832"/>
      <c r="D57" s="832"/>
      <c r="E57" s="832"/>
      <c r="F57" s="436" t="s">
        <v>13</v>
      </c>
      <c r="G57" s="436" t="s">
        <v>141</v>
      </c>
      <c r="H57" s="625" t="s">
        <v>13</v>
      </c>
      <c r="I57" s="625" t="s">
        <v>141</v>
      </c>
      <c r="J57" s="643" t="s">
        <v>13</v>
      </c>
      <c r="K57" s="643" t="s">
        <v>141</v>
      </c>
      <c r="L57" s="643" t="s">
        <v>13</v>
      </c>
      <c r="M57" s="643" t="s">
        <v>141</v>
      </c>
    </row>
    <row r="58" spans="1:13" s="59" customFormat="1" ht="15.75" customHeight="1" x14ac:dyDescent="0.2">
      <c r="A58" s="438" t="s">
        <v>1</v>
      </c>
      <c r="B58" s="457" t="str">
        <f>DADOS!A53</f>
        <v>Uniformes</v>
      </c>
      <c r="C58" s="457"/>
      <c r="D58" s="457"/>
      <c r="E58" s="457"/>
      <c r="F58" s="439"/>
      <c r="G58" s="451">
        <f>DADOS!F53*$F$20</f>
        <v>240.13</v>
      </c>
      <c r="H58" s="439"/>
      <c r="I58" s="451">
        <f>G58</f>
        <v>240.13</v>
      </c>
      <c r="J58" s="439"/>
      <c r="K58" s="451">
        <f>UNIFORMES!G37</f>
        <v>240.13</v>
      </c>
      <c r="L58" s="439"/>
      <c r="M58" s="451">
        <f>UNIFORMES!G52</f>
        <v>240.13</v>
      </c>
    </row>
    <row r="59" spans="1:13" s="59" customFormat="1" ht="15.75" customHeight="1" x14ac:dyDescent="0.2">
      <c r="A59" s="438" t="s">
        <v>2</v>
      </c>
      <c r="B59" s="457" t="str">
        <f>DADOS!A54</f>
        <v>Materiais de Consumo Mensal</v>
      </c>
      <c r="C59" s="457"/>
      <c r="D59" s="457"/>
      <c r="E59" s="457"/>
      <c r="F59" s="439"/>
      <c r="G59" s="451">
        <f>DADOS!F54*$F$20</f>
        <v>8.5299999999999994</v>
      </c>
      <c r="H59" s="439"/>
      <c r="I59" s="451">
        <f>G59</f>
        <v>8.5299999999999994</v>
      </c>
      <c r="J59" s="439"/>
      <c r="K59" s="451">
        <f>'MAT e EQUIPS'!H19</f>
        <v>8.5299999999999994</v>
      </c>
      <c r="L59" s="439"/>
      <c r="M59" s="655">
        <f>'MAT e EQUIPS'!H45</f>
        <v>7.99</v>
      </c>
    </row>
    <row r="60" spans="1:13" s="59" customFormat="1" ht="15.75" customHeight="1" x14ac:dyDescent="0.2">
      <c r="A60" s="438" t="s">
        <v>4</v>
      </c>
      <c r="B60" s="428" t="str">
        <f>DADOS!A55</f>
        <v>Equipamentos para desenvolvimento das atividades</v>
      </c>
      <c r="C60" s="457"/>
      <c r="D60" s="457"/>
      <c r="E60" s="457"/>
      <c r="F60" s="439"/>
      <c r="G60" s="451">
        <f>DADOS!F55*$F$20</f>
        <v>27.13</v>
      </c>
      <c r="H60" s="439"/>
      <c r="I60" s="451">
        <f>G60</f>
        <v>27.13</v>
      </c>
      <c r="J60" s="439"/>
      <c r="K60" s="451">
        <f>'MAT e EQUIPS'!H30</f>
        <v>27.13</v>
      </c>
      <c r="L60" s="439"/>
      <c r="M60" s="655">
        <f>'MAT e EQUIPS'!H56</f>
        <v>25.43</v>
      </c>
    </row>
    <row r="61" spans="1:13" s="59" customFormat="1" ht="18" customHeight="1" x14ac:dyDescent="0.2">
      <c r="A61" s="446"/>
      <c r="B61" s="834" t="s">
        <v>142</v>
      </c>
      <c r="C61" s="834"/>
      <c r="D61" s="834"/>
      <c r="E61" s="834"/>
      <c r="F61" s="834"/>
      <c r="G61" s="458">
        <f>SUM(G58:G60)</f>
        <v>275.79000000000002</v>
      </c>
      <c r="H61" s="458"/>
      <c r="I61" s="458">
        <f>SUM(I58:I60)</f>
        <v>275.79000000000002</v>
      </c>
      <c r="J61" s="458"/>
      <c r="K61" s="458">
        <f>SUM(K58:K60)</f>
        <v>275.79000000000002</v>
      </c>
      <c r="L61" s="458"/>
      <c r="M61" s="458">
        <f>SUM(M58:M60)</f>
        <v>273.55</v>
      </c>
    </row>
    <row r="62" spans="1:13" s="64" customFormat="1" x14ac:dyDescent="0.2">
      <c r="A62" s="427"/>
      <c r="B62" s="429"/>
      <c r="C62" s="429"/>
      <c r="D62" s="429"/>
      <c r="E62" s="429"/>
      <c r="F62" s="448"/>
      <c r="G62" s="449"/>
      <c r="H62" s="449"/>
      <c r="I62" s="449"/>
      <c r="J62" s="448"/>
      <c r="K62" s="449"/>
      <c r="L62" s="448"/>
      <c r="M62" s="449"/>
    </row>
    <row r="63" spans="1:13" s="26" customFormat="1" x14ac:dyDescent="0.2">
      <c r="A63" s="832" t="s">
        <v>39</v>
      </c>
      <c r="B63" s="832"/>
      <c r="C63" s="832"/>
      <c r="D63" s="832"/>
      <c r="E63" s="832"/>
      <c r="F63" s="832"/>
      <c r="G63" s="832"/>
      <c r="H63" s="625"/>
      <c r="I63" s="625"/>
      <c r="J63" s="643"/>
      <c r="K63" s="643"/>
      <c r="L63" s="643"/>
      <c r="M63" s="643"/>
    </row>
    <row r="64" spans="1:13" s="26" customFormat="1" x14ac:dyDescent="0.2">
      <c r="A64" s="831" t="s">
        <v>124</v>
      </c>
      <c r="B64" s="831"/>
      <c r="C64" s="831"/>
      <c r="D64" s="831"/>
      <c r="E64" s="831"/>
      <c r="F64" s="831"/>
      <c r="G64" s="831"/>
      <c r="H64" s="628"/>
      <c r="I64" s="628"/>
      <c r="J64" s="644"/>
      <c r="K64" s="644"/>
      <c r="L64" s="644"/>
      <c r="M64" s="644"/>
    </row>
    <row r="65" spans="1:13" s="67" customFormat="1" ht="18" customHeight="1" x14ac:dyDescent="0.2">
      <c r="A65" s="437" t="s">
        <v>63</v>
      </c>
      <c r="B65" s="835" t="s">
        <v>122</v>
      </c>
      <c r="C65" s="835"/>
      <c r="D65" s="835"/>
      <c r="E65" s="835"/>
      <c r="F65" s="437" t="s">
        <v>12</v>
      </c>
      <c r="G65" s="437" t="s">
        <v>103</v>
      </c>
      <c r="H65" s="624" t="s">
        <v>12</v>
      </c>
      <c r="I65" s="624" t="s">
        <v>103</v>
      </c>
      <c r="J65" s="642" t="s">
        <v>12</v>
      </c>
      <c r="K65" s="642" t="s">
        <v>103</v>
      </c>
      <c r="L65" s="642" t="s">
        <v>12</v>
      </c>
      <c r="M65" s="642" t="s">
        <v>103</v>
      </c>
    </row>
    <row r="66" spans="1:13" s="59" customFormat="1" ht="14.25" customHeight="1" x14ac:dyDescent="0.2">
      <c r="A66" s="422" t="s">
        <v>1</v>
      </c>
      <c r="B66" s="460" t="str">
        <f>DADOS!B81</f>
        <v>INSS</v>
      </c>
      <c r="C66" s="460"/>
      <c r="D66" s="429"/>
      <c r="E66" s="429"/>
      <c r="F66" s="461">
        <f>DADOS!C81</f>
        <v>0.2</v>
      </c>
      <c r="G66" s="449">
        <f>F66*$G$40</f>
        <v>635.64</v>
      </c>
      <c r="H66" s="461">
        <f>F66</f>
        <v>0.2</v>
      </c>
      <c r="I66" s="449">
        <f>H66*$G$40</f>
        <v>635.64</v>
      </c>
      <c r="J66" s="461">
        <f>DADOS!C81</f>
        <v>0.2</v>
      </c>
      <c r="K66" s="449">
        <f>J66*$K$40</f>
        <v>662.41</v>
      </c>
      <c r="L66" s="461">
        <f>H66</f>
        <v>0.2</v>
      </c>
      <c r="M66" s="449">
        <f>L66*$M$40</f>
        <v>662.41</v>
      </c>
    </row>
    <row r="67" spans="1:13" s="59" customFormat="1" ht="14.25" customHeight="1" x14ac:dyDescent="0.2">
      <c r="A67" s="422" t="s">
        <v>2</v>
      </c>
      <c r="B67" s="460" t="str">
        <f>DADOS!B82</f>
        <v>SESI ou SESC</v>
      </c>
      <c r="C67" s="460"/>
      <c r="D67" s="429"/>
      <c r="E67" s="429"/>
      <c r="F67" s="461">
        <f>DADOS!C82</f>
        <v>1.4999999999999999E-2</v>
      </c>
      <c r="G67" s="449">
        <f t="shared" ref="G67:I73" si="1">F67*$G$40</f>
        <v>47.67</v>
      </c>
      <c r="H67" s="461">
        <f t="shared" ref="H67:H73" si="2">F67</f>
        <v>1.4999999999999999E-2</v>
      </c>
      <c r="I67" s="449">
        <f t="shared" si="1"/>
        <v>47.67</v>
      </c>
      <c r="J67" s="461">
        <f>DADOS!C82</f>
        <v>1.4999999999999999E-2</v>
      </c>
      <c r="K67" s="449">
        <f t="shared" ref="K67:K73" si="3">J67*$K$40</f>
        <v>49.68</v>
      </c>
      <c r="L67" s="461">
        <f t="shared" ref="L67:L73" si="4">H67</f>
        <v>1.4999999999999999E-2</v>
      </c>
      <c r="M67" s="449">
        <f t="shared" ref="M67:M73" si="5">L67*$M$40</f>
        <v>49.68</v>
      </c>
    </row>
    <row r="68" spans="1:13" s="59" customFormat="1" ht="14.25" customHeight="1" x14ac:dyDescent="0.2">
      <c r="A68" s="422" t="s">
        <v>4</v>
      </c>
      <c r="B68" s="460" t="str">
        <f>DADOS!B83</f>
        <v>SENAI ou SENAC</v>
      </c>
      <c r="C68" s="460"/>
      <c r="D68" s="429"/>
      <c r="E68" s="429"/>
      <c r="F68" s="461">
        <f>DADOS!C83</f>
        <v>0.01</v>
      </c>
      <c r="G68" s="449">
        <f t="shared" si="1"/>
        <v>31.78</v>
      </c>
      <c r="H68" s="461">
        <f t="shared" si="2"/>
        <v>0.01</v>
      </c>
      <c r="I68" s="449">
        <f t="shared" si="1"/>
        <v>31.78</v>
      </c>
      <c r="J68" s="461">
        <f>DADOS!C83</f>
        <v>0.01</v>
      </c>
      <c r="K68" s="449">
        <f t="shared" si="3"/>
        <v>33.119999999999997</v>
      </c>
      <c r="L68" s="461">
        <f t="shared" si="4"/>
        <v>0.01</v>
      </c>
      <c r="M68" s="449">
        <f t="shared" si="5"/>
        <v>33.119999999999997</v>
      </c>
    </row>
    <row r="69" spans="1:13" s="59" customFormat="1" ht="14.25" customHeight="1" x14ac:dyDescent="0.2">
      <c r="A69" s="422" t="s">
        <v>5</v>
      </c>
      <c r="B69" s="460" t="str">
        <f>DADOS!B84</f>
        <v>INCRA</v>
      </c>
      <c r="C69" s="460"/>
      <c r="D69" s="429"/>
      <c r="E69" s="429"/>
      <c r="F69" s="461">
        <f>DADOS!C84</f>
        <v>2E-3</v>
      </c>
      <c r="G69" s="449">
        <f t="shared" si="1"/>
        <v>6.36</v>
      </c>
      <c r="H69" s="461">
        <f t="shared" si="2"/>
        <v>2E-3</v>
      </c>
      <c r="I69" s="449">
        <f t="shared" si="1"/>
        <v>6.36</v>
      </c>
      <c r="J69" s="461">
        <f>DADOS!C84</f>
        <v>2E-3</v>
      </c>
      <c r="K69" s="449">
        <f t="shared" si="3"/>
        <v>6.62</v>
      </c>
      <c r="L69" s="461">
        <f t="shared" si="4"/>
        <v>2E-3</v>
      </c>
      <c r="M69" s="449">
        <f t="shared" si="5"/>
        <v>6.62</v>
      </c>
    </row>
    <row r="70" spans="1:13" s="59" customFormat="1" ht="14.25" customHeight="1" x14ac:dyDescent="0.2">
      <c r="A70" s="422" t="s">
        <v>6</v>
      </c>
      <c r="B70" s="460" t="str">
        <f>DADOS!B85</f>
        <v xml:space="preserve">Salário Educação </v>
      </c>
      <c r="C70" s="460"/>
      <c r="D70" s="429"/>
      <c r="E70" s="429"/>
      <c r="F70" s="461">
        <f>DADOS!C85</f>
        <v>2.5000000000000001E-2</v>
      </c>
      <c r="G70" s="449">
        <f t="shared" si="1"/>
        <v>79.459999999999994</v>
      </c>
      <c r="H70" s="461">
        <f t="shared" si="2"/>
        <v>2.5000000000000001E-2</v>
      </c>
      <c r="I70" s="449">
        <f t="shared" si="1"/>
        <v>79.459999999999994</v>
      </c>
      <c r="J70" s="461">
        <f>DADOS!C85</f>
        <v>2.5000000000000001E-2</v>
      </c>
      <c r="K70" s="449">
        <f t="shared" si="3"/>
        <v>82.8</v>
      </c>
      <c r="L70" s="461">
        <f t="shared" si="4"/>
        <v>2.5000000000000001E-2</v>
      </c>
      <c r="M70" s="449">
        <f t="shared" si="5"/>
        <v>82.8</v>
      </c>
    </row>
    <row r="71" spans="1:13" s="59" customFormat="1" ht="14.25" customHeight="1" x14ac:dyDescent="0.2">
      <c r="A71" s="422" t="s">
        <v>7</v>
      </c>
      <c r="B71" s="460" t="str">
        <f>DADOS!B86</f>
        <v>FGTS</v>
      </c>
      <c r="C71" s="460"/>
      <c r="D71" s="429"/>
      <c r="E71" s="429"/>
      <c r="F71" s="461">
        <f>DADOS!C86</f>
        <v>0.08</v>
      </c>
      <c r="G71" s="449">
        <f t="shared" si="1"/>
        <v>254.26</v>
      </c>
      <c r="H71" s="461">
        <f t="shared" si="2"/>
        <v>0.08</v>
      </c>
      <c r="I71" s="449">
        <f t="shared" si="1"/>
        <v>254.26</v>
      </c>
      <c r="J71" s="461">
        <f>DADOS!C86</f>
        <v>0.08</v>
      </c>
      <c r="K71" s="449">
        <f t="shared" si="3"/>
        <v>264.95999999999998</v>
      </c>
      <c r="L71" s="461">
        <f t="shared" si="4"/>
        <v>0.08</v>
      </c>
      <c r="M71" s="449">
        <f t="shared" si="5"/>
        <v>264.95999999999998</v>
      </c>
    </row>
    <row r="72" spans="1:13" s="59" customFormat="1" ht="14.25" customHeight="1" x14ac:dyDescent="0.2">
      <c r="A72" s="422" t="s">
        <v>8</v>
      </c>
      <c r="B72" s="460" t="str">
        <f>DADOS!B87</f>
        <v>Seguro Acidente do Trabalho - RAT x FAP</v>
      </c>
      <c r="C72" s="460"/>
      <c r="D72" s="429"/>
      <c r="E72" s="429"/>
      <c r="F72" s="461">
        <f>DADOS!C87</f>
        <v>2.1299999999999999E-2</v>
      </c>
      <c r="G72" s="449">
        <f t="shared" si="1"/>
        <v>67.7</v>
      </c>
      <c r="H72" s="461">
        <f t="shared" si="2"/>
        <v>2.1299999999999999E-2</v>
      </c>
      <c r="I72" s="449">
        <f t="shared" si="1"/>
        <v>67.7</v>
      </c>
      <c r="J72" s="461">
        <f>DADOS!C87</f>
        <v>2.1299999999999999E-2</v>
      </c>
      <c r="K72" s="449">
        <f t="shared" si="3"/>
        <v>70.55</v>
      </c>
      <c r="L72" s="461">
        <f t="shared" si="4"/>
        <v>2.1299999999999999E-2</v>
      </c>
      <c r="M72" s="449">
        <f t="shared" si="5"/>
        <v>70.55</v>
      </c>
    </row>
    <row r="73" spans="1:13" s="59" customFormat="1" ht="14.25" customHeight="1" x14ac:dyDescent="0.2">
      <c r="A73" s="422" t="s">
        <v>9</v>
      </c>
      <c r="B73" s="460" t="str">
        <f>DADOS!B88</f>
        <v>SEBRAE</v>
      </c>
      <c r="C73" s="460"/>
      <c r="D73" s="429"/>
      <c r="E73" s="429"/>
      <c r="F73" s="461">
        <f>DADOS!C88</f>
        <v>6.0000000000000001E-3</v>
      </c>
      <c r="G73" s="449">
        <f t="shared" si="1"/>
        <v>19.07</v>
      </c>
      <c r="H73" s="461">
        <f t="shared" si="2"/>
        <v>6.0000000000000001E-3</v>
      </c>
      <c r="I73" s="449">
        <f t="shared" si="1"/>
        <v>19.07</v>
      </c>
      <c r="J73" s="461">
        <f>DADOS!C88</f>
        <v>6.0000000000000001E-3</v>
      </c>
      <c r="K73" s="449">
        <f t="shared" si="3"/>
        <v>19.87</v>
      </c>
      <c r="L73" s="461">
        <f t="shared" si="4"/>
        <v>6.0000000000000001E-3</v>
      </c>
      <c r="M73" s="449">
        <f t="shared" si="5"/>
        <v>19.87</v>
      </c>
    </row>
    <row r="74" spans="1:13" s="64" customFormat="1" ht="18" customHeight="1" x14ac:dyDescent="0.2">
      <c r="A74" s="840" t="s">
        <v>62</v>
      </c>
      <c r="B74" s="840"/>
      <c r="C74" s="840"/>
      <c r="D74" s="840"/>
      <c r="E74" s="840"/>
      <c r="F74" s="462">
        <f t="shared" ref="F74:M74" si="6">SUM(F66:F73)</f>
        <v>0.35930000000000001</v>
      </c>
      <c r="G74" s="458">
        <f t="shared" si="6"/>
        <v>1141.94</v>
      </c>
      <c r="H74" s="462">
        <f t="shared" si="6"/>
        <v>0.35930000000000001</v>
      </c>
      <c r="I74" s="458">
        <f t="shared" si="6"/>
        <v>1141.94</v>
      </c>
      <c r="J74" s="462">
        <f t="shared" si="6"/>
        <v>0.35930000000000001</v>
      </c>
      <c r="K74" s="458">
        <f t="shared" si="6"/>
        <v>1190.01</v>
      </c>
      <c r="L74" s="462">
        <f t="shared" si="6"/>
        <v>0.35930000000000001</v>
      </c>
      <c r="M74" s="458">
        <f t="shared" si="6"/>
        <v>1190.01</v>
      </c>
    </row>
    <row r="75" spans="1:13" s="26" customFormat="1" ht="18" customHeight="1" x14ac:dyDescent="0.2">
      <c r="A75" s="463"/>
      <c r="B75" s="463"/>
      <c r="C75" s="463"/>
      <c r="D75" s="463"/>
      <c r="E75" s="463"/>
      <c r="F75" s="448"/>
      <c r="G75" s="453"/>
      <c r="H75" s="453"/>
      <c r="I75" s="453"/>
      <c r="J75" s="448"/>
      <c r="K75" s="453"/>
      <c r="L75" s="448"/>
      <c r="M75" s="453"/>
    </row>
    <row r="76" spans="1:13" s="59" customFormat="1" x14ac:dyDescent="0.2">
      <c r="A76" s="831" t="s">
        <v>119</v>
      </c>
      <c r="B76" s="831"/>
      <c r="C76" s="831"/>
      <c r="D76" s="831"/>
      <c r="E76" s="831"/>
      <c r="F76" s="831"/>
      <c r="G76" s="831"/>
      <c r="H76" s="628"/>
      <c r="I76" s="628"/>
      <c r="J76" s="644"/>
      <c r="K76" s="644"/>
      <c r="L76" s="644"/>
      <c r="M76" s="644"/>
    </row>
    <row r="77" spans="1:13" s="67" customFormat="1" ht="18" customHeight="1" x14ac:dyDescent="0.2">
      <c r="A77" s="437" t="s">
        <v>70</v>
      </c>
      <c r="B77" s="835" t="s">
        <v>121</v>
      </c>
      <c r="C77" s="835"/>
      <c r="D77" s="835"/>
      <c r="E77" s="835"/>
      <c r="F77" s="437" t="s">
        <v>12</v>
      </c>
      <c r="G77" s="437" t="s">
        <v>103</v>
      </c>
      <c r="H77" s="624" t="s">
        <v>12</v>
      </c>
      <c r="I77" s="624" t="s">
        <v>103</v>
      </c>
      <c r="J77" s="642" t="s">
        <v>12</v>
      </c>
      <c r="K77" s="642" t="s">
        <v>103</v>
      </c>
      <c r="L77" s="642" t="s">
        <v>12</v>
      </c>
      <c r="M77" s="642" t="s">
        <v>103</v>
      </c>
    </row>
    <row r="78" spans="1:13" s="59" customFormat="1" ht="14.25" customHeight="1" x14ac:dyDescent="0.2">
      <c r="A78" s="422" t="s">
        <v>1</v>
      </c>
      <c r="B78" s="460" t="str">
        <f>DADOS!B91</f>
        <v xml:space="preserve">13º (décimo terceiro) Salário </v>
      </c>
      <c r="C78" s="460"/>
      <c r="D78" s="429"/>
      <c r="E78" s="429"/>
      <c r="F78" s="461">
        <f>DADOS!C91</f>
        <v>8.3299999999999999E-2</v>
      </c>
      <c r="G78" s="449">
        <f>F78*$G$40</f>
        <v>264.75</v>
      </c>
      <c r="H78" s="461">
        <f>F78</f>
        <v>8.3299999999999999E-2</v>
      </c>
      <c r="I78" s="449">
        <f>H78*$I$40</f>
        <v>264.75</v>
      </c>
      <c r="J78" s="461">
        <f>DADOS!C91</f>
        <v>8.3299999999999999E-2</v>
      </c>
      <c r="K78" s="449">
        <f>J78*$K$40</f>
        <v>275.89</v>
      </c>
      <c r="L78" s="461">
        <f>H78</f>
        <v>8.3299999999999999E-2</v>
      </c>
      <c r="M78" s="449">
        <f>L78*$M$40</f>
        <v>275.89</v>
      </c>
    </row>
    <row r="79" spans="1:13" s="59" customFormat="1" ht="14.25" customHeight="1" x14ac:dyDescent="0.2">
      <c r="A79" s="422" t="s">
        <v>2</v>
      </c>
      <c r="B79" s="460" t="str">
        <f>DADOS!B92</f>
        <v>Adicional de férias</v>
      </c>
      <c r="C79" s="460"/>
      <c r="D79" s="429"/>
      <c r="E79" s="429"/>
      <c r="F79" s="461">
        <f>DADOS!C92</f>
        <v>2.7799999999999998E-2</v>
      </c>
      <c r="G79" s="449">
        <f>F79*$G$40</f>
        <v>88.35</v>
      </c>
      <c r="H79" s="461">
        <f>F79</f>
        <v>2.7799999999999998E-2</v>
      </c>
      <c r="I79" s="449">
        <f>H79*$I$40</f>
        <v>88.35</v>
      </c>
      <c r="J79" s="461">
        <f>DADOS!C92</f>
        <v>2.7799999999999998E-2</v>
      </c>
      <c r="K79" s="449">
        <f>J79*$K$40</f>
        <v>92.08</v>
      </c>
      <c r="L79" s="461">
        <f>H79</f>
        <v>2.7799999999999998E-2</v>
      </c>
      <c r="M79" s="449">
        <f>L79*$M$40</f>
        <v>92.08</v>
      </c>
    </row>
    <row r="80" spans="1:13" s="59" customFormat="1" ht="14.25" customHeight="1" x14ac:dyDescent="0.2">
      <c r="A80" s="840" t="s">
        <v>108</v>
      </c>
      <c r="B80" s="840"/>
      <c r="C80" s="840"/>
      <c r="D80" s="840"/>
      <c r="E80" s="840"/>
      <c r="F80" s="462">
        <f t="shared" ref="F80:K80" si="7">SUM(F78:F79)</f>
        <v>0.1111</v>
      </c>
      <c r="G80" s="456">
        <f t="shared" si="7"/>
        <v>353.1</v>
      </c>
      <c r="H80" s="462">
        <f t="shared" si="7"/>
        <v>0.1111</v>
      </c>
      <c r="I80" s="456">
        <f t="shared" si="7"/>
        <v>353.1</v>
      </c>
      <c r="J80" s="462">
        <f t="shared" si="7"/>
        <v>0.1111</v>
      </c>
      <c r="K80" s="456">
        <f t="shared" si="7"/>
        <v>367.97</v>
      </c>
      <c r="L80" s="652">
        <f>H80</f>
        <v>0.1111</v>
      </c>
      <c r="M80" s="456">
        <f>L80*$M$40</f>
        <v>367.97</v>
      </c>
    </row>
    <row r="81" spans="1:13" s="59" customFormat="1" ht="28.5" customHeight="1" x14ac:dyDescent="0.2">
      <c r="A81" s="422" t="s">
        <v>2</v>
      </c>
      <c r="B81" s="819" t="str">
        <f>DADOS!B94</f>
        <v xml:space="preserve">Incidência dos encargos previstos no Submódulo 4.1 sobre 13° (décimo terceiro) salário </v>
      </c>
      <c r="C81" s="819"/>
      <c r="D81" s="819"/>
      <c r="E81" s="819"/>
      <c r="F81" s="461">
        <f>F74*F80</f>
        <v>3.9899999999999998E-2</v>
      </c>
      <c r="G81" s="449">
        <f>F81*$G$40</f>
        <v>126.81</v>
      </c>
      <c r="H81" s="461">
        <f>H74*H80</f>
        <v>3.9899999999999998E-2</v>
      </c>
      <c r="I81" s="449">
        <f>H81*$I$40</f>
        <v>126.81</v>
      </c>
      <c r="J81" s="461">
        <f>J74*J80</f>
        <v>3.9899999999999998E-2</v>
      </c>
      <c r="K81" s="449">
        <f>J81*$K$40</f>
        <v>132.15</v>
      </c>
      <c r="L81" s="461">
        <f>H81</f>
        <v>3.9899999999999998E-2</v>
      </c>
      <c r="M81" s="449">
        <f>L81*$M$40</f>
        <v>132.15</v>
      </c>
    </row>
    <row r="82" spans="1:13" s="64" customFormat="1" ht="18" customHeight="1" x14ac:dyDescent="0.2">
      <c r="A82" s="840" t="s">
        <v>62</v>
      </c>
      <c r="B82" s="840"/>
      <c r="C82" s="840"/>
      <c r="D82" s="840"/>
      <c r="E82" s="840"/>
      <c r="F82" s="462">
        <f t="shared" ref="F82:M82" si="8">SUM(F80:F81)</f>
        <v>0.151</v>
      </c>
      <c r="G82" s="458">
        <f t="shared" si="8"/>
        <v>479.91</v>
      </c>
      <c r="H82" s="462">
        <f t="shared" si="8"/>
        <v>0.151</v>
      </c>
      <c r="I82" s="458">
        <f t="shared" si="8"/>
        <v>479.91</v>
      </c>
      <c r="J82" s="462">
        <f t="shared" si="8"/>
        <v>0.151</v>
      </c>
      <c r="K82" s="458">
        <f t="shared" si="8"/>
        <v>500.12</v>
      </c>
      <c r="L82" s="462">
        <f t="shared" si="8"/>
        <v>0.151</v>
      </c>
      <c r="M82" s="458">
        <f t="shared" si="8"/>
        <v>500.12</v>
      </c>
    </row>
    <row r="83" spans="1:13" s="64" customFormat="1" x14ac:dyDescent="0.2">
      <c r="A83" s="464"/>
      <c r="B83" s="464"/>
      <c r="C83" s="464"/>
      <c r="D83" s="464"/>
      <c r="E83" s="464"/>
      <c r="F83" s="448"/>
      <c r="G83" s="453"/>
      <c r="H83" s="448"/>
      <c r="I83" s="453"/>
      <c r="J83" s="448"/>
      <c r="K83" s="453"/>
      <c r="L83" s="448"/>
      <c r="M83" s="453"/>
    </row>
    <row r="84" spans="1:13" s="59" customFormat="1" x14ac:dyDescent="0.2">
      <c r="A84" s="831" t="s">
        <v>109</v>
      </c>
      <c r="B84" s="831"/>
      <c r="C84" s="831"/>
      <c r="D84" s="831"/>
      <c r="E84" s="831"/>
      <c r="F84" s="831"/>
      <c r="G84" s="831"/>
      <c r="H84" s="628"/>
      <c r="I84" s="628"/>
      <c r="J84" s="644"/>
      <c r="K84" s="644"/>
      <c r="L84" s="644"/>
      <c r="M84" s="644"/>
    </row>
    <row r="85" spans="1:13" s="59" customFormat="1" ht="27" customHeight="1" x14ac:dyDescent="0.2">
      <c r="A85" s="437" t="s">
        <v>63</v>
      </c>
      <c r="B85" s="835" t="s">
        <v>26</v>
      </c>
      <c r="C85" s="835"/>
      <c r="D85" s="835"/>
      <c r="E85" s="835"/>
      <c r="F85" s="437" t="s">
        <v>12</v>
      </c>
      <c r="G85" s="437" t="s">
        <v>103</v>
      </c>
      <c r="H85" s="624" t="s">
        <v>12</v>
      </c>
      <c r="I85" s="624" t="s">
        <v>103</v>
      </c>
      <c r="J85" s="642" t="s">
        <v>12</v>
      </c>
      <c r="K85" s="642" t="s">
        <v>103</v>
      </c>
      <c r="L85" s="642" t="s">
        <v>12</v>
      </c>
      <c r="M85" s="642" t="s">
        <v>103</v>
      </c>
    </row>
    <row r="86" spans="1:13" s="59" customFormat="1" ht="14.25" customHeight="1" x14ac:dyDescent="0.2">
      <c r="A86" s="422" t="s">
        <v>1</v>
      </c>
      <c r="B86" s="460" t="str">
        <f>DADOS!B97</f>
        <v>Afastamento Maternidade</v>
      </c>
      <c r="C86" s="460"/>
      <c r="D86" s="429"/>
      <c r="E86" s="429"/>
      <c r="F86" s="461">
        <f>DADOS!C97</f>
        <v>0</v>
      </c>
      <c r="G86" s="449">
        <f>F86*$G$40</f>
        <v>0</v>
      </c>
      <c r="H86" s="461">
        <f>DADOS!C97</f>
        <v>0</v>
      </c>
      <c r="I86" s="449">
        <f>H86*$K$40</f>
        <v>0</v>
      </c>
      <c r="J86" s="461">
        <f>DADOS!G97</f>
        <v>0</v>
      </c>
      <c r="K86" s="449">
        <f>J86*$I$40</f>
        <v>0</v>
      </c>
      <c r="L86" s="461">
        <f>DADOS!I97</f>
        <v>0</v>
      </c>
      <c r="M86" s="449">
        <f>L86*$M$40</f>
        <v>0</v>
      </c>
    </row>
    <row r="87" spans="1:13" s="59" customFormat="1" ht="14.25" customHeight="1" x14ac:dyDescent="0.2">
      <c r="A87" s="422" t="s">
        <v>2</v>
      </c>
      <c r="B87" s="460" t="str">
        <f>DADOS!B98</f>
        <v>Incidência dos encargos do Submódulo 4.1 sobre o afastamento maternidade</v>
      </c>
      <c r="C87" s="460"/>
      <c r="D87" s="429"/>
      <c r="E87" s="429"/>
      <c r="F87" s="461">
        <f>DADOS!C98</f>
        <v>0</v>
      </c>
      <c r="G87" s="449">
        <f>F87*$G$40</f>
        <v>0</v>
      </c>
      <c r="H87" s="461">
        <f>DADOS!C98</f>
        <v>0</v>
      </c>
      <c r="I87" s="449">
        <f>H87*$K$40</f>
        <v>0</v>
      </c>
      <c r="J87" s="461">
        <f>DADOS!G98</f>
        <v>0</v>
      </c>
      <c r="K87" s="449">
        <f>J87*$I$40</f>
        <v>0</v>
      </c>
      <c r="L87" s="461">
        <f>DADOS!I98</f>
        <v>0</v>
      </c>
      <c r="M87" s="449">
        <f>L87*$M$40</f>
        <v>0</v>
      </c>
    </row>
    <row r="88" spans="1:13" s="64" customFormat="1" ht="18" customHeight="1" x14ac:dyDescent="0.2">
      <c r="A88" s="840" t="s">
        <v>62</v>
      </c>
      <c r="B88" s="840"/>
      <c r="C88" s="840"/>
      <c r="D88" s="840"/>
      <c r="E88" s="840"/>
      <c r="F88" s="462">
        <f t="shared" ref="F88:M88" si="9">SUM(F86:F87)</f>
        <v>0</v>
      </c>
      <c r="G88" s="458">
        <f t="shared" si="9"/>
        <v>0</v>
      </c>
      <c r="H88" s="462">
        <f t="shared" si="9"/>
        <v>0</v>
      </c>
      <c r="I88" s="485">
        <f t="shared" si="9"/>
        <v>0</v>
      </c>
      <c r="J88" s="462">
        <f t="shared" si="9"/>
        <v>0</v>
      </c>
      <c r="K88" s="458">
        <f t="shared" si="9"/>
        <v>0</v>
      </c>
      <c r="L88" s="462">
        <f t="shared" si="9"/>
        <v>0</v>
      </c>
      <c r="M88" s="458">
        <f t="shared" si="9"/>
        <v>0</v>
      </c>
    </row>
    <row r="89" spans="1:13" s="64" customFormat="1" ht="18" customHeight="1" x14ac:dyDescent="0.2">
      <c r="A89" s="464"/>
      <c r="B89" s="464"/>
      <c r="C89" s="464"/>
      <c r="D89" s="464"/>
      <c r="E89" s="464"/>
      <c r="F89" s="448"/>
      <c r="G89" s="453"/>
      <c r="H89" s="448"/>
      <c r="I89" s="453"/>
      <c r="J89" s="448"/>
      <c r="K89" s="453"/>
      <c r="L89" s="448"/>
      <c r="M89" s="453"/>
    </row>
    <row r="90" spans="1:13" s="59" customFormat="1" x14ac:dyDescent="0.2">
      <c r="A90" s="831" t="s">
        <v>110</v>
      </c>
      <c r="B90" s="831"/>
      <c r="C90" s="831"/>
      <c r="D90" s="831"/>
      <c r="E90" s="831"/>
      <c r="F90" s="831"/>
      <c r="G90" s="831"/>
      <c r="H90" s="628"/>
      <c r="I90" s="628"/>
      <c r="J90" s="644"/>
      <c r="K90" s="644"/>
      <c r="L90" s="644"/>
      <c r="M90" s="644"/>
    </row>
    <row r="91" spans="1:13" s="59" customFormat="1" ht="47.25" customHeight="1" x14ac:dyDescent="0.2">
      <c r="A91" s="437" t="s">
        <v>74</v>
      </c>
      <c r="B91" s="835" t="s">
        <v>111</v>
      </c>
      <c r="C91" s="835"/>
      <c r="D91" s="835"/>
      <c r="E91" s="835"/>
      <c r="F91" s="437" t="s">
        <v>12</v>
      </c>
      <c r="G91" s="437" t="s">
        <v>103</v>
      </c>
      <c r="H91" s="624" t="s">
        <v>12</v>
      </c>
      <c r="I91" s="624" t="s">
        <v>103</v>
      </c>
      <c r="J91" s="642" t="s">
        <v>12</v>
      </c>
      <c r="K91" s="642" t="s">
        <v>103</v>
      </c>
      <c r="L91" s="642" t="s">
        <v>12</v>
      </c>
      <c r="M91" s="642" t="s">
        <v>103</v>
      </c>
    </row>
    <row r="92" spans="1:13" s="59" customFormat="1" ht="14.25" customHeight="1" x14ac:dyDescent="0.2">
      <c r="A92" s="422" t="s">
        <v>1</v>
      </c>
      <c r="B92" s="460" t="str">
        <f>DADOS!B101</f>
        <v>Aviso Prévio Indenizado </v>
      </c>
      <c r="C92" s="460"/>
      <c r="D92" s="429"/>
      <c r="E92" s="429"/>
      <c r="F92" s="461">
        <f>DADOS!C101</f>
        <v>4.1999999999999997E-3</v>
      </c>
      <c r="G92" s="449">
        <f t="shared" ref="G92:G97" si="10">F92*$G$40</f>
        <v>13.35</v>
      </c>
      <c r="H92" s="465">
        <v>4.0000000000000002E-4</v>
      </c>
      <c r="I92" s="449">
        <f t="shared" ref="I92:I97" si="11">ROUND(H92*$I$40,2)</f>
        <v>1.27</v>
      </c>
      <c r="J92" s="461">
        <v>4.1999999999999997E-3</v>
      </c>
      <c r="K92" s="449">
        <f t="shared" ref="K92:K97" si="12">J92*$K$40</f>
        <v>13.91</v>
      </c>
      <c r="L92" s="465">
        <f t="shared" ref="L92:L97" si="13">H92</f>
        <v>4.0000000000000002E-4</v>
      </c>
      <c r="M92" s="449">
        <f t="shared" ref="M92:M97" si="14">ROUND(L92*$M$40,2)</f>
        <v>1.32</v>
      </c>
    </row>
    <row r="93" spans="1:13" s="59" customFormat="1" ht="14.25" customHeight="1" x14ac:dyDescent="0.2">
      <c r="A93" s="422" t="s">
        <v>2</v>
      </c>
      <c r="B93" s="460" t="str">
        <f>DADOS!B102</f>
        <v>Incidência dos encargos do submódulo 4.1 sobre aviso prévio indenizado</v>
      </c>
      <c r="C93" s="460"/>
      <c r="D93" s="429"/>
      <c r="E93" s="429"/>
      <c r="F93" s="461">
        <f>DADOS!C102</f>
        <v>1.5E-3</v>
      </c>
      <c r="G93" s="449">
        <f t="shared" si="10"/>
        <v>4.7699999999999996</v>
      </c>
      <c r="H93" s="465">
        <v>1E-4</v>
      </c>
      <c r="I93" s="449">
        <f t="shared" si="11"/>
        <v>0.32</v>
      </c>
      <c r="J93" s="461">
        <v>1.5E-3</v>
      </c>
      <c r="K93" s="449">
        <f t="shared" si="12"/>
        <v>4.97</v>
      </c>
      <c r="L93" s="465">
        <f t="shared" si="13"/>
        <v>1E-4</v>
      </c>
      <c r="M93" s="449">
        <f t="shared" si="14"/>
        <v>0.33</v>
      </c>
    </row>
    <row r="94" spans="1:13" s="59" customFormat="1" ht="14.25" customHeight="1" x14ac:dyDescent="0.2">
      <c r="A94" s="422" t="s">
        <v>4</v>
      </c>
      <c r="B94" s="460" t="str">
        <f>DADOS!B103</f>
        <v xml:space="preserve">Multa do FGTS e contribuições sociais sobre o aviso prévio indenizado </v>
      </c>
      <c r="C94" s="460"/>
      <c r="D94" s="429"/>
      <c r="E94" s="429"/>
      <c r="F94" s="461">
        <f>DADOS!C103</f>
        <v>4.3499999999999997E-2</v>
      </c>
      <c r="G94" s="449">
        <f t="shared" si="10"/>
        <v>138.25</v>
      </c>
      <c r="H94" s="461">
        <f>F94</f>
        <v>4.3499999999999997E-2</v>
      </c>
      <c r="I94" s="449">
        <f t="shared" si="11"/>
        <v>138.25</v>
      </c>
      <c r="J94" s="461">
        <v>4.3499999999999997E-2</v>
      </c>
      <c r="K94" s="449">
        <f t="shared" si="12"/>
        <v>144.07</v>
      </c>
      <c r="L94" s="461">
        <f t="shared" si="13"/>
        <v>4.3499999999999997E-2</v>
      </c>
      <c r="M94" s="449">
        <f t="shared" si="14"/>
        <v>144.07</v>
      </c>
    </row>
    <row r="95" spans="1:13" s="59" customFormat="1" ht="14.25" customHeight="1" x14ac:dyDescent="0.2">
      <c r="A95" s="422" t="s">
        <v>5</v>
      </c>
      <c r="B95" s="460" t="str">
        <f>DADOS!B104</f>
        <v>Aviso Prévio trabalhado</v>
      </c>
      <c r="C95" s="460"/>
      <c r="D95" s="429"/>
      <c r="E95" s="429"/>
      <c r="F95" s="461">
        <f>DADOS!C104</f>
        <v>1.9400000000000001E-2</v>
      </c>
      <c r="G95" s="449">
        <f t="shared" si="10"/>
        <v>61.66</v>
      </c>
      <c r="H95" s="465">
        <v>0</v>
      </c>
      <c r="I95" s="449">
        <f t="shared" si="11"/>
        <v>0</v>
      </c>
      <c r="J95" s="461">
        <v>1.9400000000000001E-2</v>
      </c>
      <c r="K95" s="449">
        <f t="shared" si="12"/>
        <v>64.25</v>
      </c>
      <c r="L95" s="465">
        <f t="shared" si="13"/>
        <v>0</v>
      </c>
      <c r="M95" s="449">
        <f t="shared" si="14"/>
        <v>0</v>
      </c>
    </row>
    <row r="96" spans="1:13" s="59" customFormat="1" ht="14.25" customHeight="1" x14ac:dyDescent="0.2">
      <c r="A96" s="422" t="s">
        <v>6</v>
      </c>
      <c r="B96" s="460" t="str">
        <f>DADOS!B105</f>
        <v>Incidência dos encargos do submódulo 4.1 sobre aviso prévio trabalhado</v>
      </c>
      <c r="C96" s="460"/>
      <c r="D96" s="429"/>
      <c r="E96" s="429"/>
      <c r="F96" s="461">
        <f>DADOS!C105</f>
        <v>7.0000000000000001E-3</v>
      </c>
      <c r="G96" s="449">
        <f t="shared" si="10"/>
        <v>22.25</v>
      </c>
      <c r="H96" s="465">
        <v>0</v>
      </c>
      <c r="I96" s="449">
        <f t="shared" si="11"/>
        <v>0</v>
      </c>
      <c r="J96" s="461">
        <v>7.0000000000000001E-3</v>
      </c>
      <c r="K96" s="449">
        <f t="shared" si="12"/>
        <v>23.18</v>
      </c>
      <c r="L96" s="465">
        <f t="shared" si="13"/>
        <v>0</v>
      </c>
      <c r="M96" s="449">
        <f t="shared" si="14"/>
        <v>0</v>
      </c>
    </row>
    <row r="97" spans="1:13" s="59" customFormat="1" ht="14.25" customHeight="1" x14ac:dyDescent="0.2">
      <c r="A97" s="422" t="s">
        <v>7</v>
      </c>
      <c r="B97" s="460" t="str">
        <f>DADOS!B106</f>
        <v>Multa do FGTS e contribuições sociais sobre o aviso prévio trabalhado</v>
      </c>
      <c r="C97" s="460"/>
      <c r="D97" s="429"/>
      <c r="E97" s="429"/>
      <c r="F97" s="461">
        <f>DADOS!C106</f>
        <v>6.4999999999999997E-3</v>
      </c>
      <c r="G97" s="449">
        <f t="shared" si="10"/>
        <v>20.66</v>
      </c>
      <c r="H97" s="461">
        <v>6.4999999999999997E-3</v>
      </c>
      <c r="I97" s="449">
        <f t="shared" si="11"/>
        <v>20.66</v>
      </c>
      <c r="J97" s="461">
        <v>6.4999999999999997E-3</v>
      </c>
      <c r="K97" s="449">
        <f t="shared" si="12"/>
        <v>21.53</v>
      </c>
      <c r="L97" s="461">
        <f t="shared" si="13"/>
        <v>6.4999999999999997E-3</v>
      </c>
      <c r="M97" s="449">
        <f t="shared" si="14"/>
        <v>21.53</v>
      </c>
    </row>
    <row r="98" spans="1:13" s="64" customFormat="1" ht="18" customHeight="1" x14ac:dyDescent="0.2">
      <c r="A98" s="840" t="s">
        <v>62</v>
      </c>
      <c r="B98" s="840"/>
      <c r="C98" s="840"/>
      <c r="D98" s="840"/>
      <c r="E98" s="840"/>
      <c r="F98" s="462">
        <f t="shared" ref="F98:M98" si="15">SUM(F92:F97)</f>
        <v>8.2100000000000006E-2</v>
      </c>
      <c r="G98" s="458">
        <f t="shared" si="15"/>
        <v>260.94</v>
      </c>
      <c r="H98" s="462">
        <f t="shared" si="15"/>
        <v>5.0500000000000003E-2</v>
      </c>
      <c r="I98" s="458">
        <f t="shared" si="15"/>
        <v>160.5</v>
      </c>
      <c r="J98" s="462">
        <f t="shared" si="15"/>
        <v>8.2100000000000006E-2</v>
      </c>
      <c r="K98" s="458">
        <f t="shared" si="15"/>
        <v>271.91000000000003</v>
      </c>
      <c r="L98" s="462">
        <f t="shared" si="15"/>
        <v>5.0500000000000003E-2</v>
      </c>
      <c r="M98" s="458">
        <f t="shared" si="15"/>
        <v>167.25</v>
      </c>
    </row>
    <row r="99" spans="1:13" s="64" customFormat="1" ht="18" customHeight="1" x14ac:dyDescent="0.2">
      <c r="A99" s="464"/>
      <c r="B99" s="464"/>
      <c r="C99" s="464"/>
      <c r="D99" s="464"/>
      <c r="E99" s="464"/>
      <c r="F99" s="448"/>
      <c r="G99" s="453"/>
      <c r="H99" s="453"/>
      <c r="I99" s="453"/>
      <c r="J99" s="448"/>
      <c r="K99" s="453"/>
      <c r="L99" s="448"/>
      <c r="M99" s="453"/>
    </row>
    <row r="100" spans="1:13" s="59" customFormat="1" x14ac:dyDescent="0.2">
      <c r="A100" s="831" t="s">
        <v>112</v>
      </c>
      <c r="B100" s="831"/>
      <c r="C100" s="831"/>
      <c r="D100" s="831"/>
      <c r="E100" s="831"/>
      <c r="F100" s="831"/>
      <c r="G100" s="831"/>
      <c r="H100" s="628"/>
      <c r="I100" s="628"/>
      <c r="J100" s="644"/>
      <c r="K100" s="644"/>
      <c r="L100" s="644"/>
      <c r="M100" s="644"/>
    </row>
    <row r="101" spans="1:13" s="59" customFormat="1" ht="32.25" customHeight="1" x14ac:dyDescent="0.2">
      <c r="A101" s="437" t="s">
        <v>77</v>
      </c>
      <c r="B101" s="835" t="s">
        <v>123</v>
      </c>
      <c r="C101" s="835"/>
      <c r="D101" s="835"/>
      <c r="E101" s="835"/>
      <c r="F101" s="437" t="s">
        <v>12</v>
      </c>
      <c r="G101" s="437" t="s">
        <v>103</v>
      </c>
      <c r="H101" s="624" t="s">
        <v>12</v>
      </c>
      <c r="I101" s="624" t="s">
        <v>103</v>
      </c>
      <c r="J101" s="642" t="s">
        <v>12</v>
      </c>
      <c r="K101" s="642" t="s">
        <v>103</v>
      </c>
      <c r="L101" s="642" t="s">
        <v>12</v>
      </c>
      <c r="M101" s="642" t="s">
        <v>103</v>
      </c>
    </row>
    <row r="102" spans="1:13" s="59" customFormat="1" ht="14.25" customHeight="1" x14ac:dyDescent="0.2">
      <c r="A102" s="422" t="s">
        <v>1</v>
      </c>
      <c r="B102" s="460" t="str">
        <f>DADOS!B109</f>
        <v xml:space="preserve">Férias </v>
      </c>
      <c r="C102" s="460"/>
      <c r="D102" s="429"/>
      <c r="E102" s="429"/>
      <c r="F102" s="461">
        <f>DADOS!C109</f>
        <v>8.3299999999999999E-2</v>
      </c>
      <c r="G102" s="453">
        <f t="shared" ref="G102:G109" si="16">F102*$G$40</f>
        <v>264.75</v>
      </c>
      <c r="H102" s="461">
        <f t="shared" ref="H102:H107" si="17">F102</f>
        <v>8.3299999999999999E-2</v>
      </c>
      <c r="I102" s="449">
        <f t="shared" ref="I102:I109" si="18">ROUND(H102*$I$40,2)</f>
        <v>264.75</v>
      </c>
      <c r="J102" s="461">
        <f>DADOS!C109</f>
        <v>8.3299999999999999E-2</v>
      </c>
      <c r="K102" s="453">
        <f t="shared" ref="K102:K107" si="19">J102*$K$40</f>
        <v>275.89</v>
      </c>
      <c r="L102" s="461">
        <f t="shared" ref="L102:L107" si="20">H102</f>
        <v>8.3299999999999999E-2</v>
      </c>
      <c r="M102" s="453">
        <f t="shared" ref="M102:M107" si="21">L102*$M$40</f>
        <v>275.89</v>
      </c>
    </row>
    <row r="103" spans="1:13" s="59" customFormat="1" ht="14.25" customHeight="1" x14ac:dyDescent="0.2">
      <c r="A103" s="422" t="s">
        <v>2</v>
      </c>
      <c r="B103" s="460" t="str">
        <f>DADOS!B110</f>
        <v>Ausência por doença</v>
      </c>
      <c r="C103" s="460"/>
      <c r="D103" s="429"/>
      <c r="E103" s="429"/>
      <c r="F103" s="461">
        <f>DADOS!C110</f>
        <v>1.3899999999999999E-2</v>
      </c>
      <c r="G103" s="453">
        <f t="shared" si="16"/>
        <v>44.18</v>
      </c>
      <c r="H103" s="461">
        <f t="shared" si="17"/>
        <v>1.3899999999999999E-2</v>
      </c>
      <c r="I103" s="449">
        <f t="shared" si="18"/>
        <v>44.18</v>
      </c>
      <c r="J103" s="461">
        <f>DADOS!C110</f>
        <v>1.3899999999999999E-2</v>
      </c>
      <c r="K103" s="453">
        <f t="shared" si="19"/>
        <v>46.04</v>
      </c>
      <c r="L103" s="461">
        <f t="shared" si="20"/>
        <v>1.3899999999999999E-2</v>
      </c>
      <c r="M103" s="453">
        <f t="shared" si="21"/>
        <v>46.04</v>
      </c>
    </row>
    <row r="104" spans="1:13" s="59" customFormat="1" ht="14.25" customHeight="1" x14ac:dyDescent="0.2">
      <c r="A104" s="422" t="s">
        <v>4</v>
      </c>
      <c r="B104" s="460" t="str">
        <f>DADOS!B111</f>
        <v>Licença Paternidade</v>
      </c>
      <c r="C104" s="460"/>
      <c r="D104" s="429"/>
      <c r="E104" s="429"/>
      <c r="F104" s="461">
        <f>DADOS!C111</f>
        <v>1.2999999999999999E-3</v>
      </c>
      <c r="G104" s="453">
        <f t="shared" si="16"/>
        <v>4.13</v>
      </c>
      <c r="H104" s="461">
        <f t="shared" si="17"/>
        <v>1.2999999999999999E-3</v>
      </c>
      <c r="I104" s="449">
        <f t="shared" si="18"/>
        <v>4.13</v>
      </c>
      <c r="J104" s="461">
        <f>DADOS!C111</f>
        <v>1.2999999999999999E-3</v>
      </c>
      <c r="K104" s="453">
        <f t="shared" si="19"/>
        <v>4.3099999999999996</v>
      </c>
      <c r="L104" s="461">
        <f t="shared" si="20"/>
        <v>1.2999999999999999E-3</v>
      </c>
      <c r="M104" s="453">
        <f t="shared" si="21"/>
        <v>4.3099999999999996</v>
      </c>
    </row>
    <row r="105" spans="1:13" s="59" customFormat="1" ht="14.25" customHeight="1" x14ac:dyDescent="0.2">
      <c r="A105" s="422" t="s">
        <v>5</v>
      </c>
      <c r="B105" s="460" t="str">
        <f>DADOS!B112</f>
        <v>Ausências legais</v>
      </c>
      <c r="C105" s="460"/>
      <c r="D105" s="429"/>
      <c r="E105" s="429"/>
      <c r="F105" s="461">
        <f>DADOS!C112</f>
        <v>2.8E-3</v>
      </c>
      <c r="G105" s="453">
        <f t="shared" si="16"/>
        <v>8.9</v>
      </c>
      <c r="H105" s="461">
        <f t="shared" si="17"/>
        <v>2.8E-3</v>
      </c>
      <c r="I105" s="449">
        <f t="shared" si="18"/>
        <v>8.9</v>
      </c>
      <c r="J105" s="461">
        <f>DADOS!C112</f>
        <v>2.8E-3</v>
      </c>
      <c r="K105" s="453">
        <f t="shared" si="19"/>
        <v>9.27</v>
      </c>
      <c r="L105" s="461">
        <f t="shared" si="20"/>
        <v>2.8E-3</v>
      </c>
      <c r="M105" s="453">
        <f t="shared" si="21"/>
        <v>9.27</v>
      </c>
    </row>
    <row r="106" spans="1:13" s="59" customFormat="1" ht="14.25" customHeight="1" x14ac:dyDescent="0.2">
      <c r="A106" s="422" t="s">
        <v>6</v>
      </c>
      <c r="B106" s="460" t="str">
        <f>DADOS!B113</f>
        <v>Ausência por Acidente de trabalho</v>
      </c>
      <c r="C106" s="460"/>
      <c r="D106" s="429"/>
      <c r="E106" s="429"/>
      <c r="F106" s="461">
        <f>DADOS!C113</f>
        <v>3.3E-3</v>
      </c>
      <c r="G106" s="453">
        <f t="shared" si="16"/>
        <v>10.49</v>
      </c>
      <c r="H106" s="461">
        <f t="shared" si="17"/>
        <v>3.3E-3</v>
      </c>
      <c r="I106" s="449">
        <f t="shared" si="18"/>
        <v>10.49</v>
      </c>
      <c r="J106" s="461">
        <f>DADOS!C113</f>
        <v>3.3E-3</v>
      </c>
      <c r="K106" s="453">
        <f t="shared" si="19"/>
        <v>10.93</v>
      </c>
      <c r="L106" s="461">
        <f t="shared" si="20"/>
        <v>3.3E-3</v>
      </c>
      <c r="M106" s="453">
        <f t="shared" si="21"/>
        <v>10.93</v>
      </c>
    </row>
    <row r="107" spans="1:13" s="59" customFormat="1" ht="14.25" customHeight="1" x14ac:dyDescent="0.2">
      <c r="A107" s="422" t="s">
        <v>7</v>
      </c>
      <c r="B107" s="460" t="str">
        <f>DADOS!B114</f>
        <v>Outros (especificar)</v>
      </c>
      <c r="C107" s="460"/>
      <c r="D107" s="429"/>
      <c r="E107" s="429"/>
      <c r="F107" s="461">
        <f>DADOS!C114</f>
        <v>0</v>
      </c>
      <c r="G107" s="453">
        <f t="shared" si="16"/>
        <v>0</v>
      </c>
      <c r="H107" s="461">
        <f t="shared" si="17"/>
        <v>0</v>
      </c>
      <c r="I107" s="449">
        <f t="shared" si="18"/>
        <v>0</v>
      </c>
      <c r="J107" s="461">
        <f>DADOS!C114</f>
        <v>0</v>
      </c>
      <c r="K107" s="453">
        <f t="shared" si="19"/>
        <v>0</v>
      </c>
      <c r="L107" s="461">
        <f t="shared" si="20"/>
        <v>0</v>
      </c>
      <c r="M107" s="453">
        <f t="shared" si="21"/>
        <v>0</v>
      </c>
    </row>
    <row r="108" spans="1:13" s="59" customFormat="1" ht="15" customHeight="1" x14ac:dyDescent="0.2">
      <c r="A108" s="840" t="s">
        <v>108</v>
      </c>
      <c r="B108" s="840"/>
      <c r="C108" s="840"/>
      <c r="D108" s="840"/>
      <c r="E108" s="840"/>
      <c r="F108" s="462">
        <f t="shared" ref="F108:M108" si="22">SUM(F102:F107)</f>
        <v>0.1046</v>
      </c>
      <c r="G108" s="456">
        <f t="shared" si="22"/>
        <v>332.45</v>
      </c>
      <c r="H108" s="462">
        <f t="shared" si="22"/>
        <v>0.1046</v>
      </c>
      <c r="I108" s="456">
        <f t="shared" si="22"/>
        <v>332.45</v>
      </c>
      <c r="J108" s="462">
        <f t="shared" si="22"/>
        <v>0.1046</v>
      </c>
      <c r="K108" s="456">
        <f t="shared" si="22"/>
        <v>346.44</v>
      </c>
      <c r="L108" s="462">
        <f t="shared" si="22"/>
        <v>0.1046</v>
      </c>
      <c r="M108" s="456">
        <f t="shared" si="22"/>
        <v>346.44</v>
      </c>
    </row>
    <row r="109" spans="1:13" s="59" customFormat="1" ht="28.5" customHeight="1" x14ac:dyDescent="0.2">
      <c r="A109" s="422" t="s">
        <v>8</v>
      </c>
      <c r="B109" s="819" t="str">
        <f>DADOS!B116</f>
        <v>Incidência dos encargos previstos no Submódulo 4.1 sobre o custo de reposição do profissional ausente</v>
      </c>
      <c r="C109" s="819"/>
      <c r="D109" s="819"/>
      <c r="E109" s="819"/>
      <c r="F109" s="461">
        <f>DADOS!C116</f>
        <v>3.7600000000000001E-2</v>
      </c>
      <c r="G109" s="453">
        <f t="shared" si="16"/>
        <v>119.5</v>
      </c>
      <c r="H109" s="461">
        <f>F109</f>
        <v>3.7600000000000001E-2</v>
      </c>
      <c r="I109" s="449">
        <f t="shared" si="18"/>
        <v>119.5</v>
      </c>
      <c r="J109" s="461">
        <f>DADOS!C116</f>
        <v>3.7600000000000001E-2</v>
      </c>
      <c r="K109" s="453">
        <f>J109*$K$40</f>
        <v>124.53</v>
      </c>
      <c r="L109" s="461">
        <f>H109</f>
        <v>3.7600000000000001E-2</v>
      </c>
      <c r="M109" s="453">
        <f>L109*$M$40</f>
        <v>124.53</v>
      </c>
    </row>
    <row r="110" spans="1:13" s="70" customFormat="1" ht="18" customHeight="1" x14ac:dyDescent="0.2">
      <c r="A110" s="840" t="s">
        <v>62</v>
      </c>
      <c r="B110" s="840"/>
      <c r="C110" s="840"/>
      <c r="D110" s="840"/>
      <c r="E110" s="840"/>
      <c r="F110" s="462">
        <f t="shared" ref="F110:M110" si="23">SUM(F108:F109)</f>
        <v>0.14219999999999999</v>
      </c>
      <c r="G110" s="458">
        <f t="shared" si="23"/>
        <v>451.95</v>
      </c>
      <c r="H110" s="462">
        <f t="shared" si="23"/>
        <v>0.14219999999999999</v>
      </c>
      <c r="I110" s="458">
        <f t="shared" si="23"/>
        <v>451.95</v>
      </c>
      <c r="J110" s="462">
        <f t="shared" si="23"/>
        <v>0.14219999999999999</v>
      </c>
      <c r="K110" s="458">
        <f t="shared" si="23"/>
        <v>470.97</v>
      </c>
      <c r="L110" s="462">
        <f t="shared" si="23"/>
        <v>0.14219999999999999</v>
      </c>
      <c r="M110" s="458">
        <f t="shared" si="23"/>
        <v>470.97</v>
      </c>
    </row>
    <row r="111" spans="1:13" s="64" customFormat="1" ht="18" customHeight="1" x14ac:dyDescent="0.2">
      <c r="A111" s="464"/>
      <c r="B111" s="464"/>
      <c r="C111" s="464"/>
      <c r="D111" s="464"/>
      <c r="E111" s="464"/>
      <c r="F111" s="448"/>
      <c r="G111" s="453"/>
      <c r="H111" s="453"/>
      <c r="I111" s="453"/>
      <c r="J111" s="448"/>
      <c r="K111" s="453"/>
      <c r="L111" s="448"/>
      <c r="M111" s="453"/>
    </row>
    <row r="112" spans="1:13" s="59" customFormat="1" x14ac:dyDescent="0.2">
      <c r="A112" s="832" t="s">
        <v>143</v>
      </c>
      <c r="B112" s="832"/>
      <c r="C112" s="832"/>
      <c r="D112" s="832"/>
      <c r="E112" s="832"/>
      <c r="F112" s="832"/>
      <c r="G112" s="832"/>
      <c r="H112" s="625"/>
      <c r="I112" s="625"/>
      <c r="J112" s="643"/>
      <c r="K112" s="643"/>
      <c r="L112" s="643"/>
      <c r="M112" s="643"/>
    </row>
    <row r="113" spans="1:13" s="59" customFormat="1" ht="18" customHeight="1" x14ac:dyDescent="0.2">
      <c r="A113" s="437">
        <v>4</v>
      </c>
      <c r="B113" s="835" t="s">
        <v>113</v>
      </c>
      <c r="C113" s="835"/>
      <c r="D113" s="835"/>
      <c r="E113" s="835"/>
      <c r="F113" s="437" t="s">
        <v>12</v>
      </c>
      <c r="G113" s="437" t="s">
        <v>103</v>
      </c>
      <c r="H113" s="624" t="s">
        <v>12</v>
      </c>
      <c r="I113" s="624" t="s">
        <v>103</v>
      </c>
      <c r="J113" s="642" t="s">
        <v>12</v>
      </c>
      <c r="K113" s="642" t="s">
        <v>103</v>
      </c>
      <c r="L113" s="642" t="s">
        <v>12</v>
      </c>
      <c r="M113" s="642" t="s">
        <v>103</v>
      </c>
    </row>
    <row r="114" spans="1:13" s="59" customFormat="1" ht="14.25" customHeight="1" x14ac:dyDescent="0.2">
      <c r="A114" s="422" t="s">
        <v>63</v>
      </c>
      <c r="B114" s="460" t="str">
        <f>B65</f>
        <v>Encargos previdenciários, FGTS e outras contribuições</v>
      </c>
      <c r="C114" s="460"/>
      <c r="D114" s="429"/>
      <c r="E114" s="429"/>
      <c r="F114" s="461">
        <f t="shared" ref="F114:K114" si="24">F74</f>
        <v>0.35930000000000001</v>
      </c>
      <c r="G114" s="449">
        <f t="shared" si="24"/>
        <v>1141.94</v>
      </c>
      <c r="H114" s="461">
        <f t="shared" si="24"/>
        <v>0.35930000000000001</v>
      </c>
      <c r="I114" s="449">
        <f t="shared" si="24"/>
        <v>1141.94</v>
      </c>
      <c r="J114" s="461">
        <f t="shared" si="24"/>
        <v>0.35930000000000001</v>
      </c>
      <c r="K114" s="449">
        <f t="shared" si="24"/>
        <v>1190.01</v>
      </c>
      <c r="L114" s="461">
        <f t="shared" ref="L114:L119" si="25">H114</f>
        <v>0.35930000000000001</v>
      </c>
      <c r="M114" s="449">
        <f>M74</f>
        <v>1190.01</v>
      </c>
    </row>
    <row r="115" spans="1:13" s="59" customFormat="1" ht="14.25" customHeight="1" x14ac:dyDescent="0.2">
      <c r="A115" s="422" t="s">
        <v>70</v>
      </c>
      <c r="B115" s="460" t="str">
        <f>B77</f>
        <v xml:space="preserve">13º (décimo terceiro) Salário </v>
      </c>
      <c r="C115" s="460"/>
      <c r="D115" s="429"/>
      <c r="E115" s="429"/>
      <c r="F115" s="461">
        <f t="shared" ref="F115:K115" si="26">F82</f>
        <v>0.151</v>
      </c>
      <c r="G115" s="449">
        <f t="shared" si="26"/>
        <v>479.91</v>
      </c>
      <c r="H115" s="461">
        <f t="shared" si="26"/>
        <v>0.151</v>
      </c>
      <c r="I115" s="449">
        <f t="shared" si="26"/>
        <v>479.91</v>
      </c>
      <c r="J115" s="461">
        <f t="shared" si="26"/>
        <v>0.151</v>
      </c>
      <c r="K115" s="449">
        <f t="shared" si="26"/>
        <v>500.12</v>
      </c>
      <c r="L115" s="461">
        <f t="shared" si="25"/>
        <v>0.151</v>
      </c>
      <c r="M115" s="449">
        <f>M82</f>
        <v>500.12</v>
      </c>
    </row>
    <row r="116" spans="1:13" s="59" customFormat="1" ht="14.25" customHeight="1" x14ac:dyDescent="0.2">
      <c r="A116" s="422" t="s">
        <v>72</v>
      </c>
      <c r="B116" s="460" t="str">
        <f>B85</f>
        <v>Afastamento Maternidade</v>
      </c>
      <c r="C116" s="460"/>
      <c r="D116" s="429"/>
      <c r="E116" s="429"/>
      <c r="F116" s="461">
        <f t="shared" ref="F116:K116" si="27">F88</f>
        <v>0</v>
      </c>
      <c r="G116" s="449">
        <f t="shared" si="27"/>
        <v>0</v>
      </c>
      <c r="H116" s="461">
        <f t="shared" si="27"/>
        <v>0</v>
      </c>
      <c r="I116" s="449">
        <f t="shared" si="27"/>
        <v>0</v>
      </c>
      <c r="J116" s="461">
        <f t="shared" si="27"/>
        <v>0</v>
      </c>
      <c r="K116" s="449">
        <f t="shared" si="27"/>
        <v>0</v>
      </c>
      <c r="L116" s="461">
        <f t="shared" si="25"/>
        <v>0</v>
      </c>
      <c r="M116" s="449">
        <f>M88</f>
        <v>0</v>
      </c>
    </row>
    <row r="117" spans="1:13" s="59" customFormat="1" ht="14.25" customHeight="1" x14ac:dyDescent="0.2">
      <c r="A117" s="422" t="s">
        <v>74</v>
      </c>
      <c r="B117" s="460" t="str">
        <f>B91</f>
        <v>Provisão para Rescisão</v>
      </c>
      <c r="C117" s="460"/>
      <c r="D117" s="429"/>
      <c r="E117" s="429"/>
      <c r="F117" s="461">
        <f t="shared" ref="F117:K117" si="28">F98</f>
        <v>8.2100000000000006E-2</v>
      </c>
      <c r="G117" s="449">
        <f t="shared" si="28"/>
        <v>260.94</v>
      </c>
      <c r="H117" s="461">
        <f t="shared" si="28"/>
        <v>5.0500000000000003E-2</v>
      </c>
      <c r="I117" s="449">
        <f t="shared" si="28"/>
        <v>160.5</v>
      </c>
      <c r="J117" s="461">
        <f t="shared" si="28"/>
        <v>8.2100000000000006E-2</v>
      </c>
      <c r="K117" s="449">
        <f t="shared" si="28"/>
        <v>271.91000000000003</v>
      </c>
      <c r="L117" s="461">
        <f t="shared" si="25"/>
        <v>5.0500000000000003E-2</v>
      </c>
      <c r="M117" s="449">
        <f>M98</f>
        <v>167.25</v>
      </c>
    </row>
    <row r="118" spans="1:13" s="59" customFormat="1" ht="14.25" customHeight="1" x14ac:dyDescent="0.2">
      <c r="A118" s="422" t="s">
        <v>77</v>
      </c>
      <c r="B118" s="423" t="str">
        <f>B101</f>
        <v>Composição do Custo de Reposição do Profissional Ausente</v>
      </c>
      <c r="C118" s="423"/>
      <c r="D118" s="429"/>
      <c r="E118" s="429"/>
      <c r="F118" s="461">
        <f t="shared" ref="F118:K118" si="29">F110</f>
        <v>0.14219999999999999</v>
      </c>
      <c r="G118" s="449">
        <f t="shared" si="29"/>
        <v>451.95</v>
      </c>
      <c r="H118" s="461">
        <f t="shared" si="29"/>
        <v>0.14219999999999999</v>
      </c>
      <c r="I118" s="449">
        <f t="shared" si="29"/>
        <v>451.95</v>
      </c>
      <c r="J118" s="461">
        <f t="shared" si="29"/>
        <v>0.14219999999999999</v>
      </c>
      <c r="K118" s="449">
        <f t="shared" si="29"/>
        <v>470.97</v>
      </c>
      <c r="L118" s="461">
        <f t="shared" si="25"/>
        <v>0.14219999999999999</v>
      </c>
      <c r="M118" s="449">
        <f>M110</f>
        <v>470.97</v>
      </c>
    </row>
    <row r="119" spans="1:13" s="59" customFormat="1" ht="14.25" customHeight="1" x14ac:dyDescent="0.2">
      <c r="A119" s="422" t="s">
        <v>131</v>
      </c>
      <c r="B119" s="423" t="s">
        <v>81</v>
      </c>
      <c r="C119" s="423"/>
      <c r="D119" s="429"/>
      <c r="E119" s="429"/>
      <c r="F119" s="461">
        <f>F112</f>
        <v>0</v>
      </c>
      <c r="G119" s="449"/>
      <c r="H119" s="461">
        <f>H112</f>
        <v>0</v>
      </c>
      <c r="I119" s="449"/>
      <c r="J119" s="461">
        <f>J112</f>
        <v>0</v>
      </c>
      <c r="K119" s="449"/>
      <c r="L119" s="461">
        <f t="shared" si="25"/>
        <v>0</v>
      </c>
      <c r="M119" s="449"/>
    </row>
    <row r="120" spans="1:13" s="59" customFormat="1" ht="18" customHeight="1" x14ac:dyDescent="0.2">
      <c r="A120" s="466"/>
      <c r="B120" s="834" t="s">
        <v>144</v>
      </c>
      <c r="C120" s="834"/>
      <c r="D120" s="834"/>
      <c r="E120" s="834"/>
      <c r="F120" s="462">
        <f t="shared" ref="F120:M120" si="30">SUM(F114:F119)</f>
        <v>0.73460000000000003</v>
      </c>
      <c r="G120" s="458">
        <f t="shared" si="30"/>
        <v>2334.7399999999998</v>
      </c>
      <c r="H120" s="462">
        <f t="shared" si="30"/>
        <v>0.70299999999999996</v>
      </c>
      <c r="I120" s="458">
        <f t="shared" si="30"/>
        <v>2234.3000000000002</v>
      </c>
      <c r="J120" s="462">
        <f t="shared" si="30"/>
        <v>0.73460000000000003</v>
      </c>
      <c r="K120" s="458">
        <f t="shared" si="30"/>
        <v>2433.0100000000002</v>
      </c>
      <c r="L120" s="462">
        <f t="shared" si="30"/>
        <v>0.70299999999999996</v>
      </c>
      <c r="M120" s="458">
        <f t="shared" si="30"/>
        <v>2328.35</v>
      </c>
    </row>
    <row r="121" spans="1:13" s="59" customFormat="1" x14ac:dyDescent="0.2">
      <c r="A121" s="422"/>
      <c r="B121" s="429"/>
      <c r="C121" s="429"/>
      <c r="D121" s="429"/>
      <c r="E121" s="429"/>
      <c r="F121" s="448"/>
      <c r="G121" s="449"/>
      <c r="H121" s="449"/>
      <c r="I121" s="449"/>
      <c r="J121" s="448"/>
      <c r="K121" s="449"/>
      <c r="L121" s="448"/>
      <c r="M121" s="449"/>
    </row>
    <row r="122" spans="1:13" s="59" customFormat="1" x14ac:dyDescent="0.2">
      <c r="A122" s="832" t="s">
        <v>40</v>
      </c>
      <c r="B122" s="832"/>
      <c r="C122" s="832"/>
      <c r="D122" s="832"/>
      <c r="E122" s="832"/>
      <c r="F122" s="832"/>
      <c r="G122" s="832"/>
      <c r="H122" s="625"/>
      <c r="I122" s="625"/>
      <c r="J122" s="643"/>
      <c r="K122" s="643"/>
      <c r="L122" s="643"/>
      <c r="M122" s="643"/>
    </row>
    <row r="123" spans="1:13" s="59" customFormat="1" ht="18" customHeight="1" x14ac:dyDescent="0.2">
      <c r="A123" s="437">
        <v>5</v>
      </c>
      <c r="B123" s="835" t="s">
        <v>29</v>
      </c>
      <c r="C123" s="835"/>
      <c r="D123" s="835"/>
      <c r="E123" s="835"/>
      <c r="F123" s="437" t="s">
        <v>12</v>
      </c>
      <c r="G123" s="437" t="s">
        <v>103</v>
      </c>
      <c r="H123" s="624" t="s">
        <v>12</v>
      </c>
      <c r="I123" s="624" t="s">
        <v>103</v>
      </c>
      <c r="J123" s="642" t="s">
        <v>12</v>
      </c>
      <c r="K123" s="642" t="s">
        <v>103</v>
      </c>
      <c r="L123" s="642" t="s">
        <v>12</v>
      </c>
      <c r="M123" s="642" t="s">
        <v>103</v>
      </c>
    </row>
    <row r="124" spans="1:13" s="59" customFormat="1" x14ac:dyDescent="0.2">
      <c r="A124" s="422" t="s">
        <v>1</v>
      </c>
      <c r="B124" s="429" t="s">
        <v>30</v>
      </c>
      <c r="C124" s="429"/>
      <c r="D124" s="429"/>
      <c r="E124" s="429"/>
      <c r="F124" s="461">
        <f>DADOS!G60</f>
        <v>6.9000000000000006E-2</v>
      </c>
      <c r="G124" s="467">
        <f>G137*F124</f>
        <v>439.16</v>
      </c>
      <c r="H124" s="465">
        <v>6.6699999999999995E-2</v>
      </c>
      <c r="I124" s="467">
        <f>I137*H124</f>
        <v>417.82</v>
      </c>
      <c r="J124" s="461">
        <v>6.9000000000000006E-2</v>
      </c>
      <c r="K124" s="467">
        <f>K137*J124</f>
        <v>456.91</v>
      </c>
      <c r="L124" s="465">
        <f>H124</f>
        <v>6.6699999999999995E-2</v>
      </c>
      <c r="M124" s="467">
        <f>M137*L124</f>
        <v>434.55</v>
      </c>
    </row>
    <row r="125" spans="1:13" s="59" customFormat="1" x14ac:dyDescent="0.2">
      <c r="A125" s="836" t="s">
        <v>2</v>
      </c>
      <c r="B125" s="429" t="s">
        <v>23</v>
      </c>
      <c r="C125" s="429"/>
      <c r="D125" s="429"/>
      <c r="E125" s="429"/>
      <c r="F125" s="461">
        <f>SUM(F126:F127)</f>
        <v>8.6499999999999994E-2</v>
      </c>
      <c r="G125" s="467"/>
      <c r="H125" s="461">
        <v>8.6499999999999994E-2</v>
      </c>
      <c r="I125" s="467"/>
      <c r="J125" s="461">
        <f>SUM(J126:J127)</f>
        <v>8.6499999999999994E-2</v>
      </c>
      <c r="K125" s="467"/>
      <c r="L125" s="461">
        <f>H125</f>
        <v>8.6499999999999994E-2</v>
      </c>
      <c r="M125" s="467"/>
    </row>
    <row r="126" spans="1:13" s="59" customFormat="1" x14ac:dyDescent="0.2">
      <c r="A126" s="836"/>
      <c r="B126" s="460" t="s">
        <v>338</v>
      </c>
      <c r="C126" s="460"/>
      <c r="D126" s="429"/>
      <c r="E126" s="429"/>
      <c r="F126" s="461">
        <f>DADOS!C75+DADOS!C74</f>
        <v>3.6499999999999998E-2</v>
      </c>
      <c r="G126" s="469">
        <f>($G$137+$G$124+$G$128)/DADOS!C$77*F126</f>
        <v>282.32</v>
      </c>
      <c r="H126" s="461">
        <f>F126</f>
        <v>3.6499999999999998E-2</v>
      </c>
      <c r="I126" s="469">
        <f>($I$137+$I$124+$I$128)/(1-H$125)*H126</f>
        <v>275</v>
      </c>
      <c r="J126" s="461">
        <f>DADOS!C75+DADOS!C74</f>
        <v>3.6499999999999998E-2</v>
      </c>
      <c r="K126" s="469">
        <f>($K$137+$K$124+$K$128)/(1-J125)*J126</f>
        <v>293.73</v>
      </c>
      <c r="L126" s="461">
        <f>H126</f>
        <v>3.6499999999999998E-2</v>
      </c>
      <c r="M126" s="469">
        <f>($M$137+$M$124+$M$128)/(1-L125)*L126</f>
        <v>286.01</v>
      </c>
    </row>
    <row r="127" spans="1:13" s="59" customFormat="1" x14ac:dyDescent="0.2">
      <c r="A127" s="836"/>
      <c r="B127" s="460" t="s">
        <v>339</v>
      </c>
      <c r="C127" s="460"/>
      <c r="D127" s="429"/>
      <c r="E127" s="429"/>
      <c r="F127" s="461">
        <f>DADOS!C73</f>
        <v>0.05</v>
      </c>
      <c r="G127" s="469">
        <f>($G$137+$G$124+$G$128)/DADOS!C$77*F127</f>
        <v>386.74</v>
      </c>
      <c r="H127" s="461">
        <f>F127</f>
        <v>0.05</v>
      </c>
      <c r="I127" s="469">
        <f>($I$137+$I$124+$I$128)/(1-H$125)*H127</f>
        <v>376.71</v>
      </c>
      <c r="J127" s="461">
        <f>DADOS!C73</f>
        <v>0.05</v>
      </c>
      <c r="K127" s="469">
        <f>($K$137+$K$124+$K$128)/(1-J125)*J127</f>
        <v>402.38</v>
      </c>
      <c r="L127" s="461">
        <f>H127</f>
        <v>0.05</v>
      </c>
      <c r="M127" s="469">
        <f>($M$137+$M$124+$M$128)/(1-L125)*L127</f>
        <v>391.79</v>
      </c>
    </row>
    <row r="128" spans="1:13" s="59" customFormat="1" x14ac:dyDescent="0.2">
      <c r="A128" s="422" t="s">
        <v>2</v>
      </c>
      <c r="B128" s="429" t="s">
        <v>20</v>
      </c>
      <c r="C128" s="429"/>
      <c r="D128" s="429"/>
      <c r="E128" s="429"/>
      <c r="F128" s="461">
        <f>DADOS!G61</f>
        <v>3.85E-2</v>
      </c>
      <c r="G128" s="470">
        <f>(G137+G124)*F128</f>
        <v>261.94</v>
      </c>
      <c r="H128" s="641">
        <v>0.03</v>
      </c>
      <c r="I128" s="470">
        <f>(I137+I124)*H128</f>
        <v>200.46</v>
      </c>
      <c r="J128" s="461">
        <v>3.85E-2</v>
      </c>
      <c r="K128" s="470">
        <f>(K137+K124)*J128</f>
        <v>272.54000000000002</v>
      </c>
      <c r="L128" s="465">
        <f>H128</f>
        <v>0.03</v>
      </c>
      <c r="M128" s="470">
        <f>(M137+M124)*L128</f>
        <v>208.49</v>
      </c>
    </row>
    <row r="129" spans="1:13" s="59" customFormat="1" ht="18" customHeight="1" x14ac:dyDescent="0.2">
      <c r="A129" s="840" t="s">
        <v>337</v>
      </c>
      <c r="B129" s="840"/>
      <c r="C129" s="840"/>
      <c r="D129" s="840"/>
      <c r="E129" s="840"/>
      <c r="F129" s="840"/>
      <c r="G129" s="471">
        <f>G124+G126+G127+G128</f>
        <v>1370.16</v>
      </c>
      <c r="H129" s="471"/>
      <c r="I129" s="471">
        <f>I124+I126+I127+I128</f>
        <v>1269.99</v>
      </c>
      <c r="J129" s="471"/>
      <c r="K129" s="471">
        <f>K124+K126+K127+K128</f>
        <v>1425.56</v>
      </c>
      <c r="L129" s="471"/>
      <c r="M129" s="471">
        <f>M124+M126+M127+M128</f>
        <v>1320.84</v>
      </c>
    </row>
    <row r="130" spans="1:13" s="59" customFormat="1" x14ac:dyDescent="0.2">
      <c r="A130" s="424"/>
      <c r="B130" s="424"/>
      <c r="C130" s="424"/>
      <c r="D130" s="424"/>
      <c r="E130" s="424"/>
      <c r="F130" s="424"/>
      <c r="G130" s="472"/>
      <c r="H130" s="472"/>
      <c r="I130" s="472"/>
      <c r="J130" s="645"/>
      <c r="K130" s="472"/>
      <c r="L130" s="645"/>
      <c r="M130" s="472"/>
    </row>
    <row r="131" spans="1:13" s="59" customFormat="1" x14ac:dyDescent="0.2">
      <c r="A131" s="832" t="s">
        <v>340</v>
      </c>
      <c r="B131" s="832"/>
      <c r="C131" s="832"/>
      <c r="D131" s="832"/>
      <c r="E131" s="832"/>
      <c r="F131" s="832"/>
      <c r="G131" s="832"/>
      <c r="H131" s="625"/>
      <c r="I131" s="625"/>
      <c r="J131" s="643"/>
      <c r="K131" s="643"/>
      <c r="L131" s="643"/>
      <c r="M131" s="643"/>
    </row>
    <row r="132" spans="1:13" s="59" customFormat="1" ht="16.5" customHeight="1" x14ac:dyDescent="0.2">
      <c r="A132" s="832" t="s">
        <v>341</v>
      </c>
      <c r="B132" s="832"/>
      <c r="C132" s="832"/>
      <c r="D132" s="832"/>
      <c r="E132" s="832"/>
      <c r="F132" s="832"/>
      <c r="G132" s="437" t="s">
        <v>162</v>
      </c>
      <c r="H132" s="624"/>
      <c r="I132" s="624" t="s">
        <v>162</v>
      </c>
      <c r="J132" s="642"/>
      <c r="K132" s="642" t="s">
        <v>162</v>
      </c>
      <c r="L132" s="642"/>
      <c r="M132" s="642" t="s">
        <v>162</v>
      </c>
    </row>
    <row r="133" spans="1:13" s="59" customFormat="1" ht="14.25" customHeight="1" x14ac:dyDescent="0.2">
      <c r="A133" s="422" t="s">
        <v>1</v>
      </c>
      <c r="B133" s="423" t="s">
        <v>31</v>
      </c>
      <c r="C133" s="423"/>
      <c r="D133" s="424"/>
      <c r="E133" s="424"/>
      <c r="F133" s="448"/>
      <c r="G133" s="449">
        <f>G40</f>
        <v>3178.22</v>
      </c>
      <c r="H133" s="448"/>
      <c r="I133" s="449">
        <f>I40</f>
        <v>3178.22</v>
      </c>
      <c r="J133" s="448"/>
      <c r="K133" s="449">
        <f>K40</f>
        <v>3312.06</v>
      </c>
      <c r="L133" s="448"/>
      <c r="M133" s="449">
        <f>M40</f>
        <v>3312.06</v>
      </c>
    </row>
    <row r="134" spans="1:13" s="59" customFormat="1" ht="14.25" customHeight="1" x14ac:dyDescent="0.2">
      <c r="A134" s="422" t="s">
        <v>2</v>
      </c>
      <c r="B134" s="423" t="s">
        <v>32</v>
      </c>
      <c r="C134" s="423"/>
      <c r="D134" s="424"/>
      <c r="E134" s="424"/>
      <c r="F134" s="448"/>
      <c r="G134" s="449">
        <f>G54</f>
        <v>575.83000000000004</v>
      </c>
      <c r="H134" s="448"/>
      <c r="I134" s="449">
        <f>I54</f>
        <v>575.83000000000004</v>
      </c>
      <c r="J134" s="448"/>
      <c r="K134" s="449">
        <f>K54</f>
        <v>601.09</v>
      </c>
      <c r="L134" s="448"/>
      <c r="M134" s="449">
        <f>M54</f>
        <v>601.09</v>
      </c>
    </row>
    <row r="135" spans="1:13" s="59" customFormat="1" ht="14.25" customHeight="1" x14ac:dyDescent="0.2">
      <c r="A135" s="422" t="s">
        <v>4</v>
      </c>
      <c r="B135" s="423" t="s">
        <v>33</v>
      </c>
      <c r="C135" s="423"/>
      <c r="D135" s="424"/>
      <c r="E135" s="424"/>
      <c r="F135" s="448"/>
      <c r="G135" s="449">
        <f>G61</f>
        <v>275.79000000000002</v>
      </c>
      <c r="H135" s="448"/>
      <c r="I135" s="449">
        <f>I61</f>
        <v>275.79000000000002</v>
      </c>
      <c r="J135" s="448"/>
      <c r="K135" s="449">
        <f>K61</f>
        <v>275.79000000000002</v>
      </c>
      <c r="L135" s="448"/>
      <c r="M135" s="449">
        <f>M61</f>
        <v>273.55</v>
      </c>
    </row>
    <row r="136" spans="1:13" s="59" customFormat="1" ht="14.25" customHeight="1" x14ac:dyDescent="0.2">
      <c r="A136" s="422" t="s">
        <v>5</v>
      </c>
      <c r="B136" s="423" t="s">
        <v>34</v>
      </c>
      <c r="C136" s="423"/>
      <c r="D136" s="424"/>
      <c r="E136" s="424"/>
      <c r="F136" s="448"/>
      <c r="G136" s="449">
        <f>G120</f>
        <v>2334.7399999999998</v>
      </c>
      <c r="H136" s="448"/>
      <c r="I136" s="449">
        <f>I120</f>
        <v>2234.3000000000002</v>
      </c>
      <c r="J136" s="448"/>
      <c r="K136" s="449">
        <f>K120</f>
        <v>2433.0100000000002</v>
      </c>
      <c r="L136" s="448"/>
      <c r="M136" s="449">
        <f>M120</f>
        <v>2328.35</v>
      </c>
    </row>
    <row r="137" spans="1:13" s="59" customFormat="1" x14ac:dyDescent="0.2">
      <c r="A137" s="867" t="s">
        <v>114</v>
      </c>
      <c r="B137" s="867"/>
      <c r="C137" s="867"/>
      <c r="D137" s="867"/>
      <c r="E137" s="867"/>
      <c r="F137" s="867"/>
      <c r="G137" s="449">
        <f>SUM(G133:G136)</f>
        <v>6364.58</v>
      </c>
      <c r="H137" s="449"/>
      <c r="I137" s="449">
        <f>SUM(I133:I136)</f>
        <v>6264.14</v>
      </c>
      <c r="J137" s="449"/>
      <c r="K137" s="449">
        <f>SUM(K133:K136)</f>
        <v>6621.95</v>
      </c>
      <c r="L137" s="449"/>
      <c r="M137" s="449">
        <f>SUM(M133:M136)</f>
        <v>6515.05</v>
      </c>
    </row>
    <row r="138" spans="1:13" s="59" customFormat="1" ht="14.25" customHeight="1" x14ac:dyDescent="0.2">
      <c r="A138" s="422" t="s">
        <v>6</v>
      </c>
      <c r="B138" s="423" t="s">
        <v>35</v>
      </c>
      <c r="C138" s="423"/>
      <c r="D138" s="424"/>
      <c r="E138" s="424"/>
      <c r="F138" s="448"/>
      <c r="G138" s="449">
        <f>G129</f>
        <v>1370.16</v>
      </c>
      <c r="H138" s="448"/>
      <c r="I138" s="449">
        <f>I129</f>
        <v>1269.99</v>
      </c>
      <c r="J138" s="448"/>
      <c r="K138" s="449">
        <f>K129</f>
        <v>1425.56</v>
      </c>
      <c r="L138" s="448"/>
      <c r="M138" s="449">
        <f>M129</f>
        <v>1320.84</v>
      </c>
    </row>
    <row r="139" spans="1:13" s="59" customFormat="1" ht="15.75" customHeight="1" x14ac:dyDescent="0.2">
      <c r="A139" s="840" t="s">
        <v>342</v>
      </c>
      <c r="B139" s="840"/>
      <c r="C139" s="840"/>
      <c r="D139" s="840"/>
      <c r="E139" s="840"/>
      <c r="F139" s="840"/>
      <c r="G139" s="473">
        <f>SUM(G137:G138)</f>
        <v>7734.74</v>
      </c>
      <c r="H139" s="473"/>
      <c r="I139" s="473">
        <f>SUM(I137:I138)</f>
        <v>7534.13</v>
      </c>
      <c r="J139" s="473"/>
      <c r="K139" s="473">
        <f>SUM(K137:K138)</f>
        <v>8047.51</v>
      </c>
      <c r="L139" s="473"/>
      <c r="M139" s="473">
        <f>SUM(M137:M138)</f>
        <v>7835.89</v>
      </c>
    </row>
    <row r="140" spans="1:13" s="64" customFormat="1" x14ac:dyDescent="0.2">
      <c r="A140" s="24"/>
      <c r="B140" s="34"/>
      <c r="C140" s="34"/>
      <c r="D140" s="34"/>
      <c r="E140" s="34"/>
      <c r="F140" s="35"/>
      <c r="G140" s="36"/>
      <c r="H140" s="36"/>
      <c r="I140" s="36"/>
      <c r="J140" s="36"/>
      <c r="K140" s="36"/>
      <c r="L140" s="36"/>
    </row>
    <row r="141" spans="1:13" s="59" customFormat="1" x14ac:dyDescent="0.2">
      <c r="A141" s="22"/>
      <c r="B141" s="22"/>
      <c r="C141" s="22"/>
      <c r="D141" s="22"/>
      <c r="E141" s="22"/>
      <c r="F141" s="22"/>
      <c r="G141" s="23"/>
      <c r="H141" s="23"/>
      <c r="I141" s="23"/>
      <c r="J141" s="23"/>
      <c r="K141" s="23"/>
      <c r="L141" s="23"/>
    </row>
    <row r="142" spans="1:13" s="59" customFormat="1" x14ac:dyDescent="0.2">
      <c r="A142" s="22"/>
      <c r="B142" s="22"/>
      <c r="C142" s="22"/>
      <c r="D142" s="22"/>
      <c r="E142" s="22"/>
      <c r="F142" s="22"/>
      <c r="G142" s="23"/>
      <c r="H142" s="23"/>
      <c r="I142" s="23"/>
      <c r="J142" s="23"/>
      <c r="K142" s="23"/>
      <c r="L142" s="23"/>
    </row>
    <row r="143" spans="1:13" s="59" customFormat="1" x14ac:dyDescent="0.2">
      <c r="A143" s="22"/>
      <c r="B143" s="22"/>
      <c r="C143" s="22"/>
      <c r="D143" s="22"/>
      <c r="E143" s="22"/>
      <c r="F143" s="22"/>
      <c r="G143" s="23"/>
      <c r="H143" s="23"/>
      <c r="I143" s="23"/>
      <c r="J143" s="23"/>
      <c r="K143" s="23"/>
      <c r="L143" s="23"/>
    </row>
    <row r="144" spans="1:13" s="59" customFormat="1" x14ac:dyDescent="0.2">
      <c r="A144" s="22"/>
      <c r="B144" s="22"/>
      <c r="C144" s="22"/>
      <c r="D144" s="22"/>
      <c r="E144" s="22"/>
      <c r="F144" s="22"/>
      <c r="G144" s="23"/>
      <c r="H144" s="23"/>
      <c r="I144" s="23"/>
      <c r="J144" s="23"/>
      <c r="K144" s="23"/>
      <c r="L144" s="23"/>
    </row>
    <row r="145" spans="1:12" s="59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3"/>
      <c r="K145" s="23"/>
      <c r="L145" s="23"/>
    </row>
    <row r="146" spans="1:12" s="59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3"/>
      <c r="K146" s="23"/>
      <c r="L146" s="23"/>
    </row>
    <row r="147" spans="1:12" s="59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3"/>
      <c r="K147" s="23"/>
      <c r="L147" s="23"/>
    </row>
  </sheetData>
  <mergeCells count="106">
    <mergeCell ref="J9:K10"/>
    <mergeCell ref="L9:M10"/>
    <mergeCell ref="H11:I11"/>
    <mergeCell ref="J11:K11"/>
    <mergeCell ref="L11:M11"/>
    <mergeCell ref="A11:E11"/>
    <mergeCell ref="H15:I15"/>
    <mergeCell ref="H16:I16"/>
    <mergeCell ref="H12:I12"/>
    <mergeCell ref="H13:I13"/>
    <mergeCell ref="H14:I14"/>
    <mergeCell ref="J15:K15"/>
    <mergeCell ref="F16:G16"/>
    <mergeCell ref="H24:I24"/>
    <mergeCell ref="H25:I25"/>
    <mergeCell ref="H26:I26"/>
    <mergeCell ref="H27:I27"/>
    <mergeCell ref="J12:K12"/>
    <mergeCell ref="L12:M12"/>
    <mergeCell ref="J13:K13"/>
    <mergeCell ref="L13:M13"/>
    <mergeCell ref="J14:K14"/>
    <mergeCell ref="L14:M14"/>
    <mergeCell ref="L15:M15"/>
    <mergeCell ref="J16:K16"/>
    <mergeCell ref="L16:M16"/>
    <mergeCell ref="J24:K24"/>
    <mergeCell ref="L24:M24"/>
    <mergeCell ref="J25:K25"/>
    <mergeCell ref="L25:M25"/>
    <mergeCell ref="J26:K26"/>
    <mergeCell ref="L26:M26"/>
    <mergeCell ref="J27:K27"/>
    <mergeCell ref="L27:M27"/>
    <mergeCell ref="A4:G4"/>
    <mergeCell ref="A5:G5"/>
    <mergeCell ref="F12:G12"/>
    <mergeCell ref="F13:G13"/>
    <mergeCell ref="A14:A15"/>
    <mergeCell ref="B14:E15"/>
    <mergeCell ref="F14:G14"/>
    <mergeCell ref="F15:G15"/>
    <mergeCell ref="F11:G11"/>
    <mergeCell ref="A17:G17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3:E33"/>
    <mergeCell ref="B38:E38"/>
    <mergeCell ref="B39:E39"/>
    <mergeCell ref="A76:G76"/>
    <mergeCell ref="B101:E101"/>
    <mergeCell ref="B77:E77"/>
    <mergeCell ref="A80:E80"/>
    <mergeCell ref="B81:E81"/>
    <mergeCell ref="A82:E82"/>
    <mergeCell ref="B40:F40"/>
    <mergeCell ref="A42:G42"/>
    <mergeCell ref="B43:E43"/>
    <mergeCell ref="A44:A45"/>
    <mergeCell ref="B46:E46"/>
    <mergeCell ref="B47:E47"/>
    <mergeCell ref="B48:E48"/>
    <mergeCell ref="A84:G84"/>
    <mergeCell ref="B51:E51"/>
    <mergeCell ref="B54:F54"/>
    <mergeCell ref="A56:G56"/>
    <mergeCell ref="B57:E57"/>
    <mergeCell ref="B61:F61"/>
    <mergeCell ref="A63:G63"/>
    <mergeCell ref="A137:F137"/>
    <mergeCell ref="A139:F139"/>
    <mergeCell ref="B35:E35"/>
    <mergeCell ref="A122:G122"/>
    <mergeCell ref="B123:E123"/>
    <mergeCell ref="A125:A127"/>
    <mergeCell ref="A129:F129"/>
    <mergeCell ref="A131:G131"/>
    <mergeCell ref="A132:F132"/>
    <mergeCell ref="B85:E85"/>
    <mergeCell ref="B109:E109"/>
    <mergeCell ref="A110:E110"/>
    <mergeCell ref="A112:G112"/>
    <mergeCell ref="B113:E113"/>
    <mergeCell ref="B120:E120"/>
    <mergeCell ref="A88:E88"/>
    <mergeCell ref="A90:G90"/>
    <mergeCell ref="B91:E91"/>
    <mergeCell ref="A108:E108"/>
    <mergeCell ref="A100:G100"/>
    <mergeCell ref="A98:E98"/>
    <mergeCell ref="A64:G64"/>
    <mergeCell ref="B65:E65"/>
    <mergeCell ref="A74:E74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0" fitToHeight="0" orientation="portrait" r:id="rId1"/>
  <headerFooter alignWithMargins="0">
    <oddHeader>&amp;L&amp;"Cambria,Negrito"&amp;8PROPOSTA Nº 011/2017 - MME</oddHeader>
  </headerFooter>
  <rowBreaks count="1" manualBreakCount="1">
    <brk id="74" max="12" man="1"/>
  </rowBreaks>
  <colBreaks count="1" manualBreakCount="1">
    <brk id="13" max="138" man="1"/>
  </colBreaks>
  <ignoredErrors>
    <ignoredError sqref="F12:G16 F19:G19 F25:G26 C38:F38 B39:F39 A27:G30 A41:G43 A40:F40 G36:G37 A83:G92 A50:E50 G50 A125:G125 A124:E124 G124 A129:G139 A128:E128 G128 A51:G78 A80:E80 A81:E81 A82:E82 A32:G33 A31:F31 A45:G49 A44:F44 A127:G127 A126:F126 A140:E140 A94:G123 A93:E93 G9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theme="5" tint="0.79998168889431442"/>
    <pageSetUpPr fitToPage="1"/>
  </sheetPr>
  <dimension ref="A2:I53"/>
  <sheetViews>
    <sheetView view="pageBreakPreview" topLeftCell="A40" zoomScale="120" zoomScaleNormal="100" zoomScaleSheetLayoutView="120" workbookViewId="0">
      <selection activeCell="I33" sqref="I33"/>
    </sheetView>
  </sheetViews>
  <sheetFormatPr defaultRowHeight="14.25" x14ac:dyDescent="0.2"/>
  <cols>
    <col min="1" max="1" width="6" style="84" customWidth="1"/>
    <col min="2" max="2" width="28.5703125" style="85" customWidth="1"/>
    <col min="3" max="3" width="36.85546875" style="85" customWidth="1"/>
    <col min="4" max="4" width="11.42578125" style="86" customWidth="1"/>
    <col min="5" max="5" width="17.140625" style="86" customWidth="1"/>
    <col min="6" max="6" width="16" style="85" customWidth="1"/>
    <col min="7" max="7" width="17.28515625" style="85" customWidth="1"/>
    <col min="8" max="8" width="11.28515625" style="40" bestFit="1" customWidth="1"/>
    <col min="9" max="9" width="12" style="40" bestFit="1" customWidth="1"/>
    <col min="10" max="10" width="7.7109375" style="55" customWidth="1"/>
    <col min="11" max="11" width="9.7109375" style="55" bestFit="1" customWidth="1"/>
    <col min="12" max="16384" width="9.140625" style="55"/>
  </cols>
  <sheetData>
    <row r="2" spans="1:9" x14ac:dyDescent="0.2">
      <c r="A2" s="874" t="str">
        <f>DADOS!A16</f>
        <v>MINISTÉRIO DE MINAS E ENERGIA - MME</v>
      </c>
      <c r="B2" s="874"/>
      <c r="C2" s="874"/>
      <c r="D2" s="874"/>
      <c r="E2" s="874"/>
      <c r="F2" s="874"/>
      <c r="G2" s="874"/>
    </row>
    <row r="3" spans="1:9" x14ac:dyDescent="0.2">
      <c r="A3" s="874" t="str">
        <f>DADOS!A18</f>
        <v>PREGÃO ELETRÔNICO Nº 001/2017 - MME</v>
      </c>
      <c r="B3" s="874"/>
      <c r="C3" s="874"/>
      <c r="D3" s="874"/>
      <c r="E3" s="874"/>
      <c r="F3" s="874"/>
      <c r="G3" s="874"/>
    </row>
    <row r="4" spans="1:9" ht="10.5" customHeight="1" x14ac:dyDescent="0.2">
      <c r="A4" s="91"/>
      <c r="B4" s="92"/>
      <c r="C4" s="92"/>
      <c r="D4" s="93"/>
      <c r="E4" s="93"/>
      <c r="F4" s="92"/>
      <c r="G4" s="92"/>
    </row>
    <row r="5" spans="1:9" x14ac:dyDescent="0.2">
      <c r="A5" s="875" t="s">
        <v>246</v>
      </c>
      <c r="B5" s="875"/>
      <c r="C5" s="875"/>
      <c r="D5" s="875"/>
      <c r="E5" s="875"/>
      <c r="F5" s="875"/>
      <c r="G5" s="875"/>
    </row>
    <row r="6" spans="1:9" s="56" customFormat="1" x14ac:dyDescent="0.2">
      <c r="A6" s="875" t="s">
        <v>247</v>
      </c>
      <c r="B6" s="875"/>
      <c r="C6" s="875"/>
      <c r="D6" s="875"/>
      <c r="E6" s="875"/>
      <c r="F6" s="875"/>
      <c r="G6" s="875"/>
      <c r="H6" s="40"/>
      <c r="I6" s="40"/>
    </row>
    <row r="7" spans="1:9" s="56" customFormat="1" ht="9.75" customHeight="1" x14ac:dyDescent="0.2">
      <c r="A7" s="94"/>
      <c r="B7" s="419"/>
      <c r="C7" s="419"/>
      <c r="D7" s="419"/>
      <c r="E7" s="419"/>
      <c r="F7" s="419"/>
      <c r="G7" s="419"/>
      <c r="H7" s="40"/>
      <c r="I7" s="40"/>
    </row>
    <row r="8" spans="1:9" s="56" customFormat="1" x14ac:dyDescent="0.2">
      <c r="A8" s="876" t="s">
        <v>248</v>
      </c>
      <c r="B8" s="876"/>
      <c r="C8" s="876"/>
      <c r="D8" s="876"/>
      <c r="E8" s="876"/>
      <c r="F8" s="876"/>
      <c r="G8" s="876"/>
      <c r="H8" s="40"/>
      <c r="I8" s="40"/>
    </row>
    <row r="9" spans="1:9" s="56" customFormat="1" ht="9.75" customHeight="1" x14ac:dyDescent="0.2">
      <c r="A9" s="486"/>
      <c r="B9" s="486"/>
      <c r="C9" s="486"/>
      <c r="D9" s="486"/>
      <c r="E9" s="486"/>
      <c r="F9" s="486"/>
      <c r="G9" s="486"/>
      <c r="H9" s="40"/>
      <c r="I9" s="40"/>
    </row>
    <row r="10" spans="1:9" s="56" customFormat="1" x14ac:dyDescent="0.2">
      <c r="A10" s="881" t="s">
        <v>412</v>
      </c>
      <c r="B10" s="881"/>
      <c r="C10" s="881"/>
      <c r="D10" s="881"/>
      <c r="E10" s="881"/>
      <c r="F10" s="881"/>
      <c r="G10" s="881"/>
      <c r="H10" s="40"/>
      <c r="I10" s="40"/>
    </row>
    <row r="11" spans="1:9" s="15" customFormat="1" x14ac:dyDescent="0.2">
      <c r="A11" s="873" t="s">
        <v>94</v>
      </c>
      <c r="B11" s="873" t="s">
        <v>245</v>
      </c>
      <c r="C11" s="873"/>
      <c r="D11" s="873" t="s">
        <v>96</v>
      </c>
      <c r="E11" s="873" t="s">
        <v>258</v>
      </c>
      <c r="F11" s="872" t="s">
        <v>249</v>
      </c>
      <c r="G11" s="873" t="s">
        <v>257</v>
      </c>
      <c r="H11" s="75"/>
      <c r="I11" s="75"/>
    </row>
    <row r="12" spans="1:9" s="15" customFormat="1" x14ac:dyDescent="0.2">
      <c r="A12" s="873"/>
      <c r="B12" s="873"/>
      <c r="C12" s="873"/>
      <c r="D12" s="873"/>
      <c r="E12" s="873"/>
      <c r="F12" s="872"/>
      <c r="G12" s="873"/>
      <c r="H12" s="75"/>
      <c r="I12" s="75"/>
    </row>
    <row r="13" spans="1:9" s="15" customFormat="1" ht="4.5" customHeight="1" x14ac:dyDescent="0.2">
      <c r="A13" s="873"/>
      <c r="B13" s="873"/>
      <c r="C13" s="873"/>
      <c r="D13" s="873"/>
      <c r="E13" s="873"/>
      <c r="F13" s="872"/>
      <c r="G13" s="873"/>
      <c r="H13" s="75"/>
      <c r="I13" s="75"/>
    </row>
    <row r="14" spans="1:9" s="15" customFormat="1" ht="0.75" customHeight="1" x14ac:dyDescent="0.2">
      <c r="A14" s="873"/>
      <c r="B14" s="873"/>
      <c r="C14" s="873"/>
      <c r="D14" s="873"/>
      <c r="E14" s="873"/>
      <c r="F14" s="872"/>
      <c r="G14" s="873"/>
      <c r="H14" s="87" t="s">
        <v>366</v>
      </c>
      <c r="I14" s="87" t="s">
        <v>367</v>
      </c>
    </row>
    <row r="15" spans="1:9" s="15" customFormat="1" ht="23.25" customHeight="1" x14ac:dyDescent="0.2">
      <c r="A15" s="494">
        <v>1</v>
      </c>
      <c r="B15" s="877" t="s">
        <v>250</v>
      </c>
      <c r="C15" s="877"/>
      <c r="D15" s="95" t="s">
        <v>96</v>
      </c>
      <c r="E15" s="96">
        <v>4</v>
      </c>
      <c r="F15" s="97">
        <f>183.12*DADOS!$D$53</f>
        <v>291.16000000000003</v>
      </c>
      <c r="G15" s="98">
        <f t="shared" ref="G15:G20" si="0">F15*E15</f>
        <v>1164.6400000000001</v>
      </c>
      <c r="H15" s="88"/>
      <c r="I15" s="88"/>
    </row>
    <row r="16" spans="1:9" s="15" customFormat="1" x14ac:dyDescent="0.2">
      <c r="A16" s="494">
        <v>2</v>
      </c>
      <c r="B16" s="877" t="s">
        <v>251</v>
      </c>
      <c r="C16" s="877"/>
      <c r="D16" s="95" t="s">
        <v>96</v>
      </c>
      <c r="E16" s="96">
        <v>4</v>
      </c>
      <c r="F16" s="97">
        <f>19*DADOS!$D$53</f>
        <v>30.21</v>
      </c>
      <c r="G16" s="98">
        <f t="shared" si="0"/>
        <v>120.84</v>
      </c>
      <c r="H16" s="88"/>
      <c r="I16" s="88"/>
    </row>
    <row r="17" spans="1:9" ht="22.5" customHeight="1" x14ac:dyDescent="0.2">
      <c r="A17" s="494">
        <v>3</v>
      </c>
      <c r="B17" s="877" t="s">
        <v>252</v>
      </c>
      <c r="C17" s="877"/>
      <c r="D17" s="95" t="s">
        <v>96</v>
      </c>
      <c r="E17" s="96">
        <v>10</v>
      </c>
      <c r="F17" s="97">
        <f>69*DADOS!$D$53</f>
        <v>109.71</v>
      </c>
      <c r="G17" s="98">
        <f t="shared" si="0"/>
        <v>1097.0999999999999</v>
      </c>
      <c r="H17" s="89"/>
      <c r="I17" s="89"/>
    </row>
    <row r="18" spans="1:9" s="57" customFormat="1" ht="25.5" customHeight="1" x14ac:dyDescent="0.2">
      <c r="A18" s="494">
        <v>4</v>
      </c>
      <c r="B18" s="877" t="s">
        <v>253</v>
      </c>
      <c r="C18" s="877"/>
      <c r="D18" s="95" t="s">
        <v>97</v>
      </c>
      <c r="E18" s="96">
        <v>4</v>
      </c>
      <c r="F18" s="97">
        <f>51.9*DADOS!$D$53</f>
        <v>82.52</v>
      </c>
      <c r="G18" s="98">
        <f t="shared" si="0"/>
        <v>330.08</v>
      </c>
      <c r="H18" s="90"/>
      <c r="I18" s="90"/>
    </row>
    <row r="19" spans="1:9" s="57" customFormat="1" ht="12.75" x14ac:dyDescent="0.2">
      <c r="A19" s="494">
        <v>5</v>
      </c>
      <c r="B19" s="877" t="s">
        <v>254</v>
      </c>
      <c r="C19" s="877"/>
      <c r="D19" s="95" t="s">
        <v>97</v>
      </c>
      <c r="E19" s="96">
        <v>10</v>
      </c>
      <c r="F19" s="97">
        <f>2.62*DADOS!$D$53</f>
        <v>4.17</v>
      </c>
      <c r="G19" s="98">
        <f t="shared" si="0"/>
        <v>41.7</v>
      </c>
      <c r="H19" s="90"/>
      <c r="I19" s="90"/>
    </row>
    <row r="20" spans="1:9" s="57" customFormat="1" ht="12.75" x14ac:dyDescent="0.2">
      <c r="A20" s="494">
        <v>6</v>
      </c>
      <c r="B20" s="877" t="s">
        <v>255</v>
      </c>
      <c r="C20" s="877"/>
      <c r="D20" s="95" t="s">
        <v>96</v>
      </c>
      <c r="E20" s="96">
        <v>2</v>
      </c>
      <c r="F20" s="97">
        <f>40*DADOS!$D$53</f>
        <v>63.6</v>
      </c>
      <c r="G20" s="98">
        <f t="shared" si="0"/>
        <v>127.2</v>
      </c>
      <c r="H20" s="90"/>
      <c r="I20" s="90"/>
    </row>
    <row r="21" spans="1:9" s="57" customFormat="1" ht="16.5" customHeight="1" x14ac:dyDescent="0.2">
      <c r="A21" s="870" t="s">
        <v>408</v>
      </c>
      <c r="B21" s="871"/>
      <c r="C21" s="871"/>
      <c r="D21" s="871"/>
      <c r="E21" s="871"/>
      <c r="F21" s="872"/>
      <c r="G21" s="495">
        <f>SUM(G15:G20)</f>
        <v>2881.56</v>
      </c>
      <c r="H21" s="76"/>
      <c r="I21" s="76"/>
    </row>
    <row r="22" spans="1:9" ht="15" customHeight="1" x14ac:dyDescent="0.2">
      <c r="A22" s="870" t="s">
        <v>409</v>
      </c>
      <c r="B22" s="871"/>
      <c r="C22" s="871"/>
      <c r="D22" s="871"/>
      <c r="E22" s="871"/>
      <c r="F22" s="872"/>
      <c r="G22" s="496">
        <f>G21/DADOS!C13</f>
        <v>240.13</v>
      </c>
    </row>
    <row r="23" spans="1:9" ht="15" customHeight="1" x14ac:dyDescent="0.2">
      <c r="A23" s="870" t="s">
        <v>410</v>
      </c>
      <c r="B23" s="871"/>
      <c r="C23" s="871"/>
      <c r="D23" s="871"/>
      <c r="E23" s="871"/>
      <c r="F23" s="872"/>
      <c r="G23" s="496">
        <f>G21*DADOS!L76</f>
        <v>43223.4</v>
      </c>
    </row>
    <row r="24" spans="1:9" ht="9" customHeight="1" x14ac:dyDescent="0.2"/>
    <row r="25" spans="1:9" x14ac:dyDescent="0.2">
      <c r="A25" s="883" t="s">
        <v>403</v>
      </c>
      <c r="B25" s="883"/>
      <c r="C25" s="883"/>
      <c r="D25" s="883"/>
      <c r="E25" s="883"/>
      <c r="F25" s="883"/>
      <c r="G25" s="883"/>
    </row>
    <row r="26" spans="1:9" ht="10.5" customHeight="1" x14ac:dyDescent="0.2">
      <c r="A26" s="884" t="s">
        <v>94</v>
      </c>
      <c r="B26" s="884" t="s">
        <v>245</v>
      </c>
      <c r="C26" s="884"/>
      <c r="D26" s="884" t="s">
        <v>96</v>
      </c>
      <c r="E26" s="884" t="s">
        <v>258</v>
      </c>
      <c r="F26" s="880" t="s">
        <v>249</v>
      </c>
      <c r="G26" s="884" t="s">
        <v>257</v>
      </c>
    </row>
    <row r="27" spans="1:9" ht="9" customHeight="1" x14ac:dyDescent="0.2">
      <c r="A27" s="884"/>
      <c r="B27" s="884"/>
      <c r="C27" s="884"/>
      <c r="D27" s="884"/>
      <c r="E27" s="884"/>
      <c r="F27" s="880"/>
      <c r="G27" s="884"/>
    </row>
    <row r="28" spans="1:9" ht="10.5" customHeight="1" x14ac:dyDescent="0.2">
      <c r="A28" s="884"/>
      <c r="B28" s="884"/>
      <c r="C28" s="884"/>
      <c r="D28" s="884"/>
      <c r="E28" s="884"/>
      <c r="F28" s="880"/>
      <c r="G28" s="884"/>
    </row>
    <row r="29" spans="1:9" ht="5.25" customHeight="1" x14ac:dyDescent="0.2">
      <c r="A29" s="884"/>
      <c r="B29" s="884"/>
      <c r="C29" s="884"/>
      <c r="D29" s="884"/>
      <c r="E29" s="884"/>
      <c r="F29" s="880"/>
      <c r="G29" s="884"/>
    </row>
    <row r="30" spans="1:9" ht="24" customHeight="1" x14ac:dyDescent="0.2">
      <c r="A30" s="487">
        <v>1</v>
      </c>
      <c r="B30" s="882" t="s">
        <v>250</v>
      </c>
      <c r="C30" s="882"/>
      <c r="D30" s="488" t="s">
        <v>96</v>
      </c>
      <c r="E30" s="489">
        <v>4</v>
      </c>
      <c r="F30" s="490">
        <f>183.12*DADOS!$D$53</f>
        <v>291.16000000000003</v>
      </c>
      <c r="G30" s="491">
        <f t="shared" ref="G30:G35" si="1">F30*E30</f>
        <v>1164.6400000000001</v>
      </c>
    </row>
    <row r="31" spans="1:9" ht="16.5" customHeight="1" x14ac:dyDescent="0.2">
      <c r="A31" s="487">
        <v>2</v>
      </c>
      <c r="B31" s="882" t="s">
        <v>251</v>
      </c>
      <c r="C31" s="882"/>
      <c r="D31" s="488" t="s">
        <v>96</v>
      </c>
      <c r="E31" s="489">
        <v>4</v>
      </c>
      <c r="F31" s="490">
        <f>19*DADOS!$D$53</f>
        <v>30.21</v>
      </c>
      <c r="G31" s="491">
        <f t="shared" si="1"/>
        <v>120.84</v>
      </c>
    </row>
    <row r="32" spans="1:9" ht="24" customHeight="1" x14ac:dyDescent="0.2">
      <c r="A32" s="487">
        <v>3</v>
      </c>
      <c r="B32" s="882" t="s">
        <v>252</v>
      </c>
      <c r="C32" s="882"/>
      <c r="D32" s="488" t="s">
        <v>96</v>
      </c>
      <c r="E32" s="489">
        <v>10</v>
      </c>
      <c r="F32" s="490">
        <f>69*DADOS!$D$53</f>
        <v>109.71</v>
      </c>
      <c r="G32" s="491">
        <f t="shared" si="1"/>
        <v>1097.0999999999999</v>
      </c>
    </row>
    <row r="33" spans="1:7" ht="22.5" customHeight="1" x14ac:dyDescent="0.2">
      <c r="A33" s="487">
        <v>4</v>
      </c>
      <c r="B33" s="882" t="s">
        <v>253</v>
      </c>
      <c r="C33" s="882"/>
      <c r="D33" s="488" t="s">
        <v>97</v>
      </c>
      <c r="E33" s="489">
        <v>4</v>
      </c>
      <c r="F33" s="490">
        <f>51.9*DADOS!$D$53</f>
        <v>82.52</v>
      </c>
      <c r="G33" s="491">
        <f t="shared" si="1"/>
        <v>330.08</v>
      </c>
    </row>
    <row r="34" spans="1:7" x14ac:dyDescent="0.2">
      <c r="A34" s="487">
        <v>5</v>
      </c>
      <c r="B34" s="882" t="s">
        <v>254</v>
      </c>
      <c r="C34" s="882"/>
      <c r="D34" s="488" t="s">
        <v>97</v>
      </c>
      <c r="E34" s="489">
        <v>10</v>
      </c>
      <c r="F34" s="490">
        <f>2.62*DADOS!$D$53</f>
        <v>4.17</v>
      </c>
      <c r="G34" s="491">
        <f t="shared" si="1"/>
        <v>41.7</v>
      </c>
    </row>
    <row r="35" spans="1:7" x14ac:dyDescent="0.2">
      <c r="A35" s="487">
        <v>6</v>
      </c>
      <c r="B35" s="882" t="s">
        <v>255</v>
      </c>
      <c r="C35" s="882"/>
      <c r="D35" s="488" t="s">
        <v>96</v>
      </c>
      <c r="E35" s="489">
        <v>2</v>
      </c>
      <c r="F35" s="490">
        <f>40*DADOS!$D$53</f>
        <v>63.6</v>
      </c>
      <c r="G35" s="491">
        <f t="shared" si="1"/>
        <v>127.2</v>
      </c>
    </row>
    <row r="36" spans="1:7" x14ac:dyDescent="0.2">
      <c r="A36" s="878" t="s">
        <v>405</v>
      </c>
      <c r="B36" s="879"/>
      <c r="C36" s="879"/>
      <c r="D36" s="879"/>
      <c r="E36" s="879"/>
      <c r="F36" s="880"/>
      <c r="G36" s="492">
        <f>SUM(G30:G35)</f>
        <v>2881.56</v>
      </c>
    </row>
    <row r="37" spans="1:7" x14ac:dyDescent="0.2">
      <c r="A37" s="878" t="s">
        <v>406</v>
      </c>
      <c r="B37" s="879"/>
      <c r="C37" s="879"/>
      <c r="D37" s="879"/>
      <c r="E37" s="879"/>
      <c r="F37" s="880"/>
      <c r="G37" s="493">
        <f>G21/DADOS!C13</f>
        <v>240.13</v>
      </c>
    </row>
    <row r="38" spans="1:7" x14ac:dyDescent="0.2">
      <c r="A38" s="878" t="s">
        <v>407</v>
      </c>
      <c r="B38" s="879"/>
      <c r="C38" s="879"/>
      <c r="D38" s="879"/>
      <c r="E38" s="879"/>
      <c r="F38" s="880"/>
      <c r="G38" s="493">
        <f>G21*DADOS!L96</f>
        <v>43223.4</v>
      </c>
    </row>
    <row r="39" spans="1:7" ht="8.25" customHeight="1" x14ac:dyDescent="0.2"/>
    <row r="40" spans="1:7" x14ac:dyDescent="0.2">
      <c r="A40" s="883" t="s">
        <v>404</v>
      </c>
      <c r="B40" s="883"/>
      <c r="C40" s="883"/>
      <c r="D40" s="883"/>
      <c r="E40" s="883"/>
      <c r="F40" s="883"/>
      <c r="G40" s="883"/>
    </row>
    <row r="41" spans="1:7" x14ac:dyDescent="0.2">
      <c r="A41" s="884" t="s">
        <v>94</v>
      </c>
      <c r="B41" s="884" t="s">
        <v>245</v>
      </c>
      <c r="C41" s="884"/>
      <c r="D41" s="884" t="s">
        <v>96</v>
      </c>
      <c r="E41" s="884" t="s">
        <v>258</v>
      </c>
      <c r="F41" s="880" t="s">
        <v>249</v>
      </c>
      <c r="G41" s="884" t="s">
        <v>257</v>
      </c>
    </row>
    <row r="42" spans="1:7" x14ac:dyDescent="0.2">
      <c r="A42" s="884"/>
      <c r="B42" s="884"/>
      <c r="C42" s="884"/>
      <c r="D42" s="884"/>
      <c r="E42" s="884"/>
      <c r="F42" s="880"/>
      <c r="G42" s="884"/>
    </row>
    <row r="43" spans="1:7" x14ac:dyDescent="0.2">
      <c r="A43" s="884"/>
      <c r="B43" s="884"/>
      <c r="C43" s="884"/>
      <c r="D43" s="884"/>
      <c r="E43" s="884"/>
      <c r="F43" s="880"/>
      <c r="G43" s="884"/>
    </row>
    <row r="44" spans="1:7" x14ac:dyDescent="0.2">
      <c r="A44" s="884"/>
      <c r="B44" s="884"/>
      <c r="C44" s="884"/>
      <c r="D44" s="884"/>
      <c r="E44" s="884"/>
      <c r="F44" s="880"/>
      <c r="G44" s="884"/>
    </row>
    <row r="45" spans="1:7" x14ac:dyDescent="0.2">
      <c r="A45" s="487">
        <v>1</v>
      </c>
      <c r="B45" s="882" t="s">
        <v>250</v>
      </c>
      <c r="C45" s="882"/>
      <c r="D45" s="488" t="s">
        <v>96</v>
      </c>
      <c r="E45" s="489">
        <v>4</v>
      </c>
      <c r="F45" s="490">
        <f>183.12*DADOS!$D$53</f>
        <v>291.16000000000003</v>
      </c>
      <c r="G45" s="491">
        <f t="shared" ref="G45:G50" si="2">F45*E45</f>
        <v>1164.6400000000001</v>
      </c>
    </row>
    <row r="46" spans="1:7" x14ac:dyDescent="0.2">
      <c r="A46" s="487">
        <v>2</v>
      </c>
      <c r="B46" s="882" t="s">
        <v>251</v>
      </c>
      <c r="C46" s="882"/>
      <c r="D46" s="488" t="s">
        <v>96</v>
      </c>
      <c r="E46" s="489">
        <v>4</v>
      </c>
      <c r="F46" s="490">
        <f>19*DADOS!$D$53</f>
        <v>30.21</v>
      </c>
      <c r="G46" s="491">
        <f t="shared" si="2"/>
        <v>120.84</v>
      </c>
    </row>
    <row r="47" spans="1:7" x14ac:dyDescent="0.2">
      <c r="A47" s="487">
        <v>3</v>
      </c>
      <c r="B47" s="882" t="s">
        <v>252</v>
      </c>
      <c r="C47" s="882"/>
      <c r="D47" s="488" t="s">
        <v>96</v>
      </c>
      <c r="E47" s="489">
        <v>10</v>
      </c>
      <c r="F47" s="490">
        <f>69*DADOS!$D$53</f>
        <v>109.71</v>
      </c>
      <c r="G47" s="491">
        <f t="shared" si="2"/>
        <v>1097.0999999999999</v>
      </c>
    </row>
    <row r="48" spans="1:7" x14ac:dyDescent="0.2">
      <c r="A48" s="487">
        <v>4</v>
      </c>
      <c r="B48" s="882" t="s">
        <v>253</v>
      </c>
      <c r="C48" s="882"/>
      <c r="D48" s="488" t="s">
        <v>97</v>
      </c>
      <c r="E48" s="489">
        <v>4</v>
      </c>
      <c r="F48" s="490">
        <f>51.9*DADOS!$D$53</f>
        <v>82.52</v>
      </c>
      <c r="G48" s="491">
        <f t="shared" si="2"/>
        <v>330.08</v>
      </c>
    </row>
    <row r="49" spans="1:7" x14ac:dyDescent="0.2">
      <c r="A49" s="487">
        <v>5</v>
      </c>
      <c r="B49" s="882" t="s">
        <v>254</v>
      </c>
      <c r="C49" s="882"/>
      <c r="D49" s="488" t="s">
        <v>97</v>
      </c>
      <c r="E49" s="489">
        <v>10</v>
      </c>
      <c r="F49" s="490">
        <f>2.62*DADOS!$D$53</f>
        <v>4.17</v>
      </c>
      <c r="G49" s="491">
        <f t="shared" si="2"/>
        <v>41.7</v>
      </c>
    </row>
    <row r="50" spans="1:7" x14ac:dyDescent="0.2">
      <c r="A50" s="487">
        <v>6</v>
      </c>
      <c r="B50" s="882" t="s">
        <v>255</v>
      </c>
      <c r="C50" s="882"/>
      <c r="D50" s="488" t="s">
        <v>96</v>
      </c>
      <c r="E50" s="489">
        <v>2</v>
      </c>
      <c r="F50" s="490">
        <f>40*DADOS!$D$53</f>
        <v>63.6</v>
      </c>
      <c r="G50" s="491">
        <f t="shared" si="2"/>
        <v>127.2</v>
      </c>
    </row>
    <row r="51" spans="1:7" x14ac:dyDescent="0.2">
      <c r="A51" s="878" t="s">
        <v>405</v>
      </c>
      <c r="B51" s="879"/>
      <c r="C51" s="879"/>
      <c r="D51" s="879"/>
      <c r="E51" s="879"/>
      <c r="F51" s="880"/>
      <c r="G51" s="492">
        <f>SUM(G45:G50)</f>
        <v>2881.56</v>
      </c>
    </row>
    <row r="52" spans="1:7" x14ac:dyDescent="0.2">
      <c r="A52" s="878" t="s">
        <v>406</v>
      </c>
      <c r="B52" s="879"/>
      <c r="C52" s="879"/>
      <c r="D52" s="879"/>
      <c r="E52" s="879"/>
      <c r="F52" s="880"/>
      <c r="G52" s="493">
        <f>G21/DADOS!C13</f>
        <v>240.13</v>
      </c>
    </row>
    <row r="53" spans="1:7" x14ac:dyDescent="0.2">
      <c r="A53" s="878" t="s">
        <v>407</v>
      </c>
      <c r="B53" s="879"/>
      <c r="C53" s="879"/>
      <c r="D53" s="879"/>
      <c r="E53" s="879"/>
      <c r="F53" s="880"/>
      <c r="G53" s="493">
        <f>G36*DADOS!L104</f>
        <v>46104.959999999999</v>
      </c>
    </row>
  </sheetData>
  <mergeCells count="53">
    <mergeCell ref="A51:F51"/>
    <mergeCell ref="A52:F52"/>
    <mergeCell ref="A53:F53"/>
    <mergeCell ref="B45:C45"/>
    <mergeCell ref="B46:C46"/>
    <mergeCell ref="B47:C47"/>
    <mergeCell ref="B48:C48"/>
    <mergeCell ref="B49:C49"/>
    <mergeCell ref="B50:C50"/>
    <mergeCell ref="A38:F38"/>
    <mergeCell ref="A40:G40"/>
    <mergeCell ref="A41:A44"/>
    <mergeCell ref="B41:C44"/>
    <mergeCell ref="D41:D44"/>
    <mergeCell ref="E41:E44"/>
    <mergeCell ref="F41:F44"/>
    <mergeCell ref="G41:G44"/>
    <mergeCell ref="E26:E29"/>
    <mergeCell ref="F26:F29"/>
    <mergeCell ref="B34:C34"/>
    <mergeCell ref="B35:C35"/>
    <mergeCell ref="A36:F36"/>
    <mergeCell ref="A37:F37"/>
    <mergeCell ref="F11:F14"/>
    <mergeCell ref="A10:G10"/>
    <mergeCell ref="B30:C30"/>
    <mergeCell ref="B31:C31"/>
    <mergeCell ref="B32:C32"/>
    <mergeCell ref="B33:C33"/>
    <mergeCell ref="A25:G25"/>
    <mergeCell ref="A26:A29"/>
    <mergeCell ref="B26:C29"/>
    <mergeCell ref="D26:D29"/>
    <mergeCell ref="E11:E14"/>
    <mergeCell ref="B15:C15"/>
    <mergeCell ref="B20:C20"/>
    <mergeCell ref="G26:G29"/>
    <mergeCell ref="A23:F23"/>
    <mergeCell ref="A21:F21"/>
    <mergeCell ref="A22:F22"/>
    <mergeCell ref="G11:G14"/>
    <mergeCell ref="A2:G2"/>
    <mergeCell ref="A3:G3"/>
    <mergeCell ref="A6:G6"/>
    <mergeCell ref="A11:A14"/>
    <mergeCell ref="B11:C14"/>
    <mergeCell ref="A8:G8"/>
    <mergeCell ref="A5:G5"/>
    <mergeCell ref="B18:C18"/>
    <mergeCell ref="B19:C19"/>
    <mergeCell ref="B17:C17"/>
    <mergeCell ref="B16:C16"/>
    <mergeCell ref="D11:D14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1" fitToHeight="0" orientation="portrait" r:id="rId1"/>
  <headerFooter>
    <oddHeader>&amp;L&amp;"Cambria,Negrito"&amp;8PROPOSTA N° 011/2017 - MME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theme="5" tint="0.79998168889431442"/>
    <pageSetUpPr fitToPage="1"/>
  </sheetPr>
  <dimension ref="A1:J56"/>
  <sheetViews>
    <sheetView view="pageBreakPreview" zoomScale="120" zoomScaleNormal="100" zoomScaleSheetLayoutView="120" workbookViewId="0">
      <selection activeCell="I44" sqref="I44"/>
    </sheetView>
  </sheetViews>
  <sheetFormatPr defaultRowHeight="14.25" x14ac:dyDescent="0.2"/>
  <cols>
    <col min="1" max="1" width="6" style="94" customWidth="1"/>
    <col min="2" max="2" width="26.5703125" style="99" customWidth="1"/>
    <col min="3" max="3" width="28.28515625" style="99" customWidth="1"/>
    <col min="4" max="4" width="11.42578125" style="100" customWidth="1"/>
    <col min="5" max="6" width="11.140625" style="100" customWidth="1"/>
    <col min="7" max="7" width="16" style="99" customWidth="1"/>
    <col min="8" max="8" width="17.28515625" style="99" customWidth="1"/>
    <col min="9" max="9" width="11.28515625" style="40" bestFit="1" customWidth="1"/>
    <col min="10" max="10" width="12.28515625" style="40" bestFit="1" customWidth="1"/>
    <col min="11" max="11" width="12.5703125" style="55" bestFit="1" customWidth="1"/>
    <col min="12" max="12" width="9.7109375" style="55" bestFit="1" customWidth="1"/>
    <col min="13" max="16384" width="9.140625" style="55"/>
  </cols>
  <sheetData>
    <row r="1" spans="1:10" ht="10.5" customHeight="1" x14ac:dyDescent="0.2"/>
    <row r="2" spans="1:10" x14ac:dyDescent="0.2">
      <c r="A2" s="874" t="str">
        <f>DADOS!A16</f>
        <v>MINISTÉRIO DE MINAS E ENERGIA - MME</v>
      </c>
      <c r="B2" s="874"/>
      <c r="C2" s="874"/>
      <c r="D2" s="874"/>
      <c r="E2" s="874"/>
      <c r="F2" s="874"/>
      <c r="G2" s="874"/>
      <c r="H2" s="874"/>
    </row>
    <row r="3" spans="1:10" x14ac:dyDescent="0.2">
      <c r="A3" s="874" t="str">
        <f>DADOS!A18</f>
        <v>PREGÃO ELETRÔNICO Nº 001/2017 - MME</v>
      </c>
      <c r="B3" s="874"/>
      <c r="C3" s="874"/>
      <c r="D3" s="874"/>
      <c r="E3" s="874"/>
      <c r="F3" s="874"/>
      <c r="G3" s="874"/>
      <c r="H3" s="874"/>
    </row>
    <row r="4" spans="1:10" ht="10.5" customHeight="1" x14ac:dyDescent="0.2">
      <c r="A4" s="91"/>
      <c r="B4" s="92"/>
      <c r="C4" s="92"/>
      <c r="D4" s="93"/>
      <c r="E4" s="93"/>
      <c r="F4" s="93"/>
      <c r="G4" s="92"/>
      <c r="H4" s="92"/>
    </row>
    <row r="5" spans="1:10" x14ac:dyDescent="0.2">
      <c r="A5" s="887" t="s">
        <v>256</v>
      </c>
      <c r="B5" s="887"/>
      <c r="C5" s="887"/>
      <c r="D5" s="887"/>
      <c r="E5" s="887"/>
      <c r="F5" s="887"/>
      <c r="G5" s="887"/>
      <c r="H5" s="887"/>
    </row>
    <row r="6" spans="1:10" s="56" customFormat="1" x14ac:dyDescent="0.2">
      <c r="A6" s="887" t="s">
        <v>259</v>
      </c>
      <c r="B6" s="887"/>
      <c r="C6" s="887"/>
      <c r="D6" s="887"/>
      <c r="E6" s="887"/>
      <c r="F6" s="887"/>
      <c r="G6" s="887"/>
      <c r="H6" s="887"/>
      <c r="I6" s="40"/>
      <c r="J6" s="40"/>
    </row>
    <row r="7" spans="1:10" s="56" customFormat="1" x14ac:dyDescent="0.2">
      <c r="A7" s="505"/>
      <c r="B7" s="506"/>
      <c r="C7" s="506"/>
      <c r="D7" s="506"/>
      <c r="E7" s="506"/>
      <c r="F7" s="506"/>
      <c r="G7" s="506"/>
      <c r="H7" s="506"/>
      <c r="I7" s="40"/>
      <c r="J7" s="40"/>
    </row>
    <row r="8" spans="1:10" s="56" customFormat="1" x14ac:dyDescent="0.2">
      <c r="A8" s="885" t="s">
        <v>260</v>
      </c>
      <c r="B8" s="885"/>
      <c r="C8" s="885"/>
      <c r="D8" s="885"/>
      <c r="E8" s="885"/>
      <c r="F8" s="885"/>
      <c r="G8" s="885"/>
      <c r="H8" s="885"/>
      <c r="I8" s="40"/>
      <c r="J8" s="40"/>
    </row>
    <row r="9" spans="1:10" s="56" customFormat="1" x14ac:dyDescent="0.2">
      <c r="A9" s="885" t="s">
        <v>261</v>
      </c>
      <c r="B9" s="885"/>
      <c r="C9" s="885"/>
      <c r="D9" s="885"/>
      <c r="E9" s="885"/>
      <c r="F9" s="885"/>
      <c r="G9" s="885"/>
      <c r="H9" s="885"/>
      <c r="I9" s="40"/>
      <c r="J9" s="40"/>
    </row>
    <row r="10" spans="1:10" s="15" customFormat="1" ht="14.25" customHeight="1" x14ac:dyDescent="0.2">
      <c r="A10" s="886" t="s">
        <v>94</v>
      </c>
      <c r="B10" s="886" t="s">
        <v>278</v>
      </c>
      <c r="C10" s="886"/>
      <c r="D10" s="886" t="s">
        <v>96</v>
      </c>
      <c r="E10" s="886" t="s">
        <v>262</v>
      </c>
      <c r="F10" s="886"/>
      <c r="G10" s="886" t="s">
        <v>263</v>
      </c>
      <c r="H10" s="886"/>
      <c r="I10" s="75"/>
      <c r="J10" s="75"/>
    </row>
    <row r="11" spans="1:10" s="15" customFormat="1" ht="9.75" customHeight="1" x14ac:dyDescent="0.2">
      <c r="A11" s="886"/>
      <c r="B11" s="886"/>
      <c r="C11" s="886"/>
      <c r="D11" s="886"/>
      <c r="E11" s="886" t="s">
        <v>266</v>
      </c>
      <c r="F11" s="886" t="s">
        <v>267</v>
      </c>
      <c r="G11" s="886" t="s">
        <v>264</v>
      </c>
      <c r="H11" s="886" t="s">
        <v>265</v>
      </c>
      <c r="I11" s="75"/>
      <c r="J11" s="75"/>
    </row>
    <row r="12" spans="1:10" s="15" customFormat="1" ht="12.75" customHeight="1" x14ac:dyDescent="0.2">
      <c r="A12" s="886"/>
      <c r="B12" s="886"/>
      <c r="C12" s="886"/>
      <c r="D12" s="886"/>
      <c r="E12" s="886"/>
      <c r="F12" s="886"/>
      <c r="G12" s="886"/>
      <c r="H12" s="886"/>
      <c r="I12" s="500"/>
      <c r="J12" s="500"/>
    </row>
    <row r="13" spans="1:10" s="15" customFormat="1" ht="20.25" customHeight="1" x14ac:dyDescent="0.2">
      <c r="A13" s="507">
        <v>1</v>
      </c>
      <c r="B13" s="891" t="s">
        <v>271</v>
      </c>
      <c r="C13" s="891"/>
      <c r="D13" s="508" t="s">
        <v>96</v>
      </c>
      <c r="E13" s="509">
        <v>1</v>
      </c>
      <c r="F13" s="510">
        <f>E13*DADOS!$C$13</f>
        <v>12</v>
      </c>
      <c r="G13" s="511">
        <f>8.4*DADOS!$D$54</f>
        <v>8.4</v>
      </c>
      <c r="H13" s="512">
        <f>G13*F13</f>
        <v>100.8</v>
      </c>
      <c r="I13" s="501"/>
      <c r="J13" s="501"/>
    </row>
    <row r="14" spans="1:10" s="15" customFormat="1" x14ac:dyDescent="0.2">
      <c r="A14" s="507">
        <v>2</v>
      </c>
      <c r="B14" s="891" t="s">
        <v>272</v>
      </c>
      <c r="C14" s="891"/>
      <c r="D14" s="508" t="s">
        <v>96</v>
      </c>
      <c r="E14" s="509">
        <v>15</v>
      </c>
      <c r="F14" s="510">
        <f>E14*DADOS!$C$13</f>
        <v>180</v>
      </c>
      <c r="G14" s="511">
        <f>1*DADOS!$D$54</f>
        <v>1</v>
      </c>
      <c r="H14" s="512">
        <f>G14*F14</f>
        <v>180</v>
      </c>
      <c r="I14" s="501"/>
      <c r="J14" s="501"/>
    </row>
    <row r="15" spans="1:10" ht="12.75" x14ac:dyDescent="0.2">
      <c r="A15" s="507">
        <v>3</v>
      </c>
      <c r="B15" s="891" t="s">
        <v>273</v>
      </c>
      <c r="C15" s="891"/>
      <c r="D15" s="508" t="s">
        <v>96</v>
      </c>
      <c r="E15" s="509">
        <v>1</v>
      </c>
      <c r="F15" s="510">
        <f>E15*DADOS!$C$13</f>
        <v>12</v>
      </c>
      <c r="G15" s="511">
        <f>14.5*DADOS!$D$54</f>
        <v>14.5</v>
      </c>
      <c r="H15" s="512">
        <f>G15*F15</f>
        <v>174</v>
      </c>
      <c r="I15" s="502"/>
      <c r="J15" s="502"/>
    </row>
    <row r="16" spans="1:10" s="57" customFormat="1" ht="12.75" x14ac:dyDescent="0.2">
      <c r="A16" s="507">
        <v>4</v>
      </c>
      <c r="B16" s="891" t="s">
        <v>274</v>
      </c>
      <c r="C16" s="891"/>
      <c r="D16" s="508" t="s">
        <v>96</v>
      </c>
      <c r="E16" s="509">
        <v>15</v>
      </c>
      <c r="F16" s="510">
        <f>E16*DADOS!$C$13</f>
        <v>180</v>
      </c>
      <c r="G16" s="511">
        <f>6*DADOS!$D$54</f>
        <v>6</v>
      </c>
      <c r="H16" s="512">
        <f>G16*F16</f>
        <v>1080</v>
      </c>
      <c r="I16" s="503"/>
      <c r="J16" s="503"/>
    </row>
    <row r="17" spans="1:10" s="57" customFormat="1" ht="14.25" customHeight="1" x14ac:dyDescent="0.2">
      <c r="A17" s="888" t="s">
        <v>268</v>
      </c>
      <c r="B17" s="889"/>
      <c r="C17" s="889"/>
      <c r="D17" s="889"/>
      <c r="E17" s="889"/>
      <c r="F17" s="889"/>
      <c r="G17" s="890"/>
      <c r="H17" s="513">
        <f>SUM(H13:H16)</f>
        <v>1534.8</v>
      </c>
      <c r="I17" s="504"/>
      <c r="J17" s="504"/>
    </row>
    <row r="18" spans="1:10" ht="15" customHeight="1" x14ac:dyDescent="0.2">
      <c r="A18" s="888" t="s">
        <v>269</v>
      </c>
      <c r="B18" s="889"/>
      <c r="C18" s="889"/>
      <c r="D18" s="889"/>
      <c r="E18" s="889"/>
      <c r="F18" s="889"/>
      <c r="G18" s="890"/>
      <c r="H18" s="514">
        <f>H17/DADOS!$C$13</f>
        <v>127.9</v>
      </c>
      <c r="I18" s="84"/>
      <c r="J18" s="84"/>
    </row>
    <row r="19" spans="1:10" ht="13.5" customHeight="1" x14ac:dyDescent="0.2">
      <c r="A19" s="888" t="s">
        <v>270</v>
      </c>
      <c r="B19" s="889"/>
      <c r="C19" s="889"/>
      <c r="D19" s="889"/>
      <c r="E19" s="889"/>
      <c r="F19" s="889"/>
      <c r="G19" s="890"/>
      <c r="H19" s="514">
        <f>H18/DADOS!$L$76</f>
        <v>8.5299999999999994</v>
      </c>
      <c r="I19" s="84"/>
      <c r="J19" s="84"/>
    </row>
    <row r="20" spans="1:10" ht="9" customHeight="1" x14ac:dyDescent="0.2">
      <c r="A20" s="505"/>
      <c r="B20" s="515"/>
      <c r="C20" s="515"/>
      <c r="D20" s="516"/>
      <c r="E20" s="516"/>
      <c r="F20" s="516"/>
      <c r="G20" s="515"/>
      <c r="H20" s="515"/>
      <c r="I20" s="84"/>
      <c r="J20" s="84"/>
    </row>
    <row r="21" spans="1:10" ht="16.5" customHeight="1" x14ac:dyDescent="0.2">
      <c r="A21" s="885" t="s">
        <v>275</v>
      </c>
      <c r="B21" s="885"/>
      <c r="C21" s="885"/>
      <c r="D21" s="885"/>
      <c r="E21" s="885"/>
      <c r="F21" s="885"/>
      <c r="G21" s="885"/>
      <c r="H21" s="885"/>
      <c r="I21" s="84"/>
      <c r="J21" s="84"/>
    </row>
    <row r="22" spans="1:10" ht="13.5" customHeight="1" x14ac:dyDescent="0.2">
      <c r="A22" s="886" t="s">
        <v>94</v>
      </c>
      <c r="B22" s="886" t="s">
        <v>116</v>
      </c>
      <c r="C22" s="886"/>
      <c r="D22" s="886" t="s">
        <v>96</v>
      </c>
      <c r="E22" s="892" t="s">
        <v>262</v>
      </c>
      <c r="F22" s="893"/>
      <c r="G22" s="886" t="s">
        <v>263</v>
      </c>
      <c r="H22" s="886"/>
      <c r="I22" s="84"/>
      <c r="J22" s="84"/>
    </row>
    <row r="23" spans="1:10" ht="9.75" customHeight="1" x14ac:dyDescent="0.2">
      <c r="A23" s="886"/>
      <c r="B23" s="886"/>
      <c r="C23" s="886"/>
      <c r="D23" s="886"/>
      <c r="E23" s="886" t="s">
        <v>266</v>
      </c>
      <c r="F23" s="886" t="s">
        <v>267</v>
      </c>
      <c r="G23" s="886" t="s">
        <v>264</v>
      </c>
      <c r="H23" s="886" t="s">
        <v>265</v>
      </c>
      <c r="I23" s="84"/>
      <c r="J23" s="84"/>
    </row>
    <row r="24" spans="1:10" ht="12.75" x14ac:dyDescent="0.2">
      <c r="A24" s="886"/>
      <c r="B24" s="886"/>
      <c r="C24" s="886"/>
      <c r="D24" s="886"/>
      <c r="E24" s="886"/>
      <c r="F24" s="886"/>
      <c r="G24" s="886"/>
      <c r="H24" s="886"/>
      <c r="I24" s="500"/>
      <c r="J24" s="500"/>
    </row>
    <row r="25" spans="1:10" ht="43.5" customHeight="1" x14ac:dyDescent="0.2">
      <c r="A25" s="507">
        <v>1</v>
      </c>
      <c r="B25" s="891" t="s">
        <v>411</v>
      </c>
      <c r="C25" s="891"/>
      <c r="D25" s="508" t="s">
        <v>96</v>
      </c>
      <c r="E25" s="509">
        <v>6</v>
      </c>
      <c r="F25" s="510">
        <f>E25*DADOS!$C$13</f>
        <v>72</v>
      </c>
      <c r="G25" s="511">
        <f>33.15*DADOS!$D$55</f>
        <v>33.15</v>
      </c>
      <c r="H25" s="512">
        <f>G25*F25</f>
        <v>2386.8000000000002</v>
      </c>
      <c r="I25" s="501"/>
      <c r="J25" s="501"/>
    </row>
    <row r="26" spans="1:10" ht="36" customHeight="1" x14ac:dyDescent="0.2">
      <c r="A26" s="507">
        <v>2</v>
      </c>
      <c r="B26" s="891" t="s">
        <v>276</v>
      </c>
      <c r="C26" s="891"/>
      <c r="D26" s="508" t="s">
        <v>96</v>
      </c>
      <c r="E26" s="509">
        <v>5</v>
      </c>
      <c r="F26" s="510">
        <f>E26</f>
        <v>5</v>
      </c>
      <c r="G26" s="511">
        <f>65*DADOS!$D$55</f>
        <v>65</v>
      </c>
      <c r="H26" s="512">
        <f>G26*F26</f>
        <v>325</v>
      </c>
      <c r="I26" s="501"/>
      <c r="J26" s="501"/>
    </row>
    <row r="27" spans="1:10" ht="26.25" customHeight="1" x14ac:dyDescent="0.2">
      <c r="A27" s="507">
        <v>3</v>
      </c>
      <c r="B27" s="891" t="s">
        <v>277</v>
      </c>
      <c r="C27" s="891"/>
      <c r="D27" s="508" t="s">
        <v>96</v>
      </c>
      <c r="E27" s="509">
        <v>20</v>
      </c>
      <c r="F27" s="510">
        <f>E27</f>
        <v>20</v>
      </c>
      <c r="G27" s="511">
        <f>108.58*DADOS!$D$55</f>
        <v>108.58</v>
      </c>
      <c r="H27" s="512">
        <f>G27*F27</f>
        <v>2171.6</v>
      </c>
      <c r="I27" s="501"/>
      <c r="J27" s="502"/>
    </row>
    <row r="28" spans="1:10" x14ac:dyDescent="0.2">
      <c r="A28" s="888" t="s">
        <v>268</v>
      </c>
      <c r="B28" s="889"/>
      <c r="C28" s="889"/>
      <c r="D28" s="889"/>
      <c r="E28" s="889"/>
      <c r="F28" s="889"/>
      <c r="G28" s="890"/>
      <c r="H28" s="513">
        <f>SUM(H25:H27)</f>
        <v>4883.3999999999996</v>
      </c>
    </row>
    <row r="29" spans="1:10" x14ac:dyDescent="0.2">
      <c r="A29" s="888" t="s">
        <v>269</v>
      </c>
      <c r="B29" s="889"/>
      <c r="C29" s="889"/>
      <c r="D29" s="889"/>
      <c r="E29" s="889"/>
      <c r="F29" s="889"/>
      <c r="G29" s="890"/>
      <c r="H29" s="514">
        <f>H28/DADOS!$C$13</f>
        <v>406.95</v>
      </c>
    </row>
    <row r="30" spans="1:10" x14ac:dyDescent="0.2">
      <c r="A30" s="888" t="s">
        <v>270</v>
      </c>
      <c r="B30" s="889"/>
      <c r="C30" s="889"/>
      <c r="D30" s="889"/>
      <c r="E30" s="889"/>
      <c r="F30" s="889"/>
      <c r="G30" s="890"/>
      <c r="H30" s="514">
        <f>H29/DADOS!$L$76</f>
        <v>27.13</v>
      </c>
    </row>
    <row r="31" spans="1:10" x14ac:dyDescent="0.2">
      <c r="A31" s="622"/>
      <c r="B31" s="622"/>
      <c r="C31" s="622"/>
      <c r="D31" s="622"/>
      <c r="E31" s="622"/>
      <c r="F31" s="622"/>
      <c r="G31" s="622"/>
      <c r="H31" s="623"/>
    </row>
    <row r="32" spans="1:10" x14ac:dyDescent="0.2">
      <c r="A32" s="894" t="s">
        <v>418</v>
      </c>
      <c r="B32" s="894"/>
      <c r="C32" s="894"/>
      <c r="D32" s="894"/>
      <c r="E32" s="894"/>
      <c r="F32" s="894"/>
      <c r="G32" s="894"/>
      <c r="H32" s="894"/>
    </row>
    <row r="33" spans="1:8" ht="8.25" customHeight="1" x14ac:dyDescent="0.2"/>
    <row r="34" spans="1:8" x14ac:dyDescent="0.2">
      <c r="A34" s="885" t="s">
        <v>260</v>
      </c>
      <c r="B34" s="885"/>
      <c r="C34" s="885"/>
      <c r="D34" s="885"/>
      <c r="E34" s="885"/>
      <c r="F34" s="885"/>
      <c r="G34" s="885"/>
      <c r="H34" s="885"/>
    </row>
    <row r="35" spans="1:8" x14ac:dyDescent="0.2">
      <c r="A35" s="885" t="s">
        <v>261</v>
      </c>
      <c r="B35" s="885"/>
      <c r="C35" s="885"/>
      <c r="D35" s="885"/>
      <c r="E35" s="885"/>
      <c r="F35" s="885"/>
      <c r="G35" s="885"/>
      <c r="H35" s="885"/>
    </row>
    <row r="36" spans="1:8" x14ac:dyDescent="0.2">
      <c r="A36" s="886" t="s">
        <v>94</v>
      </c>
      <c r="B36" s="886" t="s">
        <v>278</v>
      </c>
      <c r="C36" s="886"/>
      <c r="D36" s="886" t="s">
        <v>96</v>
      </c>
      <c r="E36" s="886" t="s">
        <v>262</v>
      </c>
      <c r="F36" s="886"/>
      <c r="G36" s="886" t="s">
        <v>263</v>
      </c>
      <c r="H36" s="886"/>
    </row>
    <row r="37" spans="1:8" x14ac:dyDescent="0.2">
      <c r="A37" s="886"/>
      <c r="B37" s="886"/>
      <c r="C37" s="886"/>
      <c r="D37" s="886"/>
      <c r="E37" s="886" t="s">
        <v>266</v>
      </c>
      <c r="F37" s="886" t="s">
        <v>267</v>
      </c>
      <c r="G37" s="886" t="s">
        <v>264</v>
      </c>
      <c r="H37" s="886" t="s">
        <v>265</v>
      </c>
    </row>
    <row r="38" spans="1:8" x14ac:dyDescent="0.2">
      <c r="A38" s="886"/>
      <c r="B38" s="886"/>
      <c r="C38" s="886"/>
      <c r="D38" s="886"/>
      <c r="E38" s="886"/>
      <c r="F38" s="886"/>
      <c r="G38" s="886"/>
      <c r="H38" s="886"/>
    </row>
    <row r="39" spans="1:8" x14ac:dyDescent="0.2">
      <c r="A39" s="507">
        <v>1</v>
      </c>
      <c r="B39" s="891" t="s">
        <v>271</v>
      </c>
      <c r="C39" s="891"/>
      <c r="D39" s="508" t="s">
        <v>96</v>
      </c>
      <c r="E39" s="509">
        <v>1</v>
      </c>
      <c r="F39" s="510">
        <f>E39*DADOS!$C$13</f>
        <v>12</v>
      </c>
      <c r="G39" s="511">
        <f>8.4*DADOS!$D$54</f>
        <v>8.4</v>
      </c>
      <c r="H39" s="512">
        <f>G39*F39</f>
        <v>100.8</v>
      </c>
    </row>
    <row r="40" spans="1:8" x14ac:dyDescent="0.2">
      <c r="A40" s="507">
        <v>2</v>
      </c>
      <c r="B40" s="891" t="s">
        <v>272</v>
      </c>
      <c r="C40" s="891"/>
      <c r="D40" s="508" t="s">
        <v>96</v>
      </c>
      <c r="E40" s="509">
        <v>15</v>
      </c>
      <c r="F40" s="510">
        <f>E40*DADOS!$C$13</f>
        <v>180</v>
      </c>
      <c r="G40" s="511">
        <f>1*DADOS!$D$54</f>
        <v>1</v>
      </c>
      <c r="H40" s="512">
        <f>G40*F40</f>
        <v>180</v>
      </c>
    </row>
    <row r="41" spans="1:8" x14ac:dyDescent="0.2">
      <c r="A41" s="507">
        <v>3</v>
      </c>
      <c r="B41" s="891" t="s">
        <v>273</v>
      </c>
      <c r="C41" s="891"/>
      <c r="D41" s="508" t="s">
        <v>96</v>
      </c>
      <c r="E41" s="509">
        <v>1</v>
      </c>
      <c r="F41" s="510">
        <f>E41*DADOS!$C$13</f>
        <v>12</v>
      </c>
      <c r="G41" s="511">
        <f>14.5*DADOS!$D$54</f>
        <v>14.5</v>
      </c>
      <c r="H41" s="512">
        <f>G41*F41</f>
        <v>174</v>
      </c>
    </row>
    <row r="42" spans="1:8" x14ac:dyDescent="0.2">
      <c r="A42" s="507">
        <v>4</v>
      </c>
      <c r="B42" s="891" t="s">
        <v>274</v>
      </c>
      <c r="C42" s="891"/>
      <c r="D42" s="508" t="s">
        <v>96</v>
      </c>
      <c r="E42" s="509">
        <v>15</v>
      </c>
      <c r="F42" s="510">
        <f>E42*DADOS!$C$13</f>
        <v>180</v>
      </c>
      <c r="G42" s="511">
        <f>6*DADOS!$D$54</f>
        <v>6</v>
      </c>
      <c r="H42" s="512">
        <f>G42*F42</f>
        <v>1080</v>
      </c>
    </row>
    <row r="43" spans="1:8" x14ac:dyDescent="0.2">
      <c r="A43" s="888" t="s">
        <v>268</v>
      </c>
      <c r="B43" s="889"/>
      <c r="C43" s="889"/>
      <c r="D43" s="889"/>
      <c r="E43" s="889"/>
      <c r="F43" s="889"/>
      <c r="G43" s="890"/>
      <c r="H43" s="513">
        <f>SUM(H39:H42)</f>
        <v>1534.8</v>
      </c>
    </row>
    <row r="44" spans="1:8" x14ac:dyDescent="0.2">
      <c r="A44" s="888" t="s">
        <v>269</v>
      </c>
      <c r="B44" s="889"/>
      <c r="C44" s="889"/>
      <c r="D44" s="889"/>
      <c r="E44" s="889"/>
      <c r="F44" s="889"/>
      <c r="G44" s="890"/>
      <c r="H44" s="514">
        <f>H43/DADOS!$C$13</f>
        <v>127.9</v>
      </c>
    </row>
    <row r="45" spans="1:8" x14ac:dyDescent="0.2">
      <c r="A45" s="888" t="s">
        <v>270</v>
      </c>
      <c r="B45" s="889"/>
      <c r="C45" s="889"/>
      <c r="D45" s="889"/>
      <c r="E45" s="889"/>
      <c r="F45" s="889"/>
      <c r="G45" s="890"/>
      <c r="H45" s="514">
        <f>H44/16</f>
        <v>7.99</v>
      </c>
    </row>
    <row r="46" spans="1:8" ht="8.25" customHeight="1" x14ac:dyDescent="0.2">
      <c r="A46" s="505"/>
      <c r="B46" s="515"/>
      <c r="C46" s="515"/>
      <c r="D46" s="516"/>
      <c r="E46" s="516"/>
      <c r="F46" s="516"/>
      <c r="G46" s="515"/>
      <c r="H46" s="515"/>
    </row>
    <row r="47" spans="1:8" x14ac:dyDescent="0.2">
      <c r="A47" s="885" t="s">
        <v>275</v>
      </c>
      <c r="B47" s="885"/>
      <c r="C47" s="885"/>
      <c r="D47" s="885"/>
      <c r="E47" s="885"/>
      <c r="F47" s="885"/>
      <c r="G47" s="885"/>
      <c r="H47" s="885"/>
    </row>
    <row r="48" spans="1:8" x14ac:dyDescent="0.2">
      <c r="A48" s="886" t="s">
        <v>94</v>
      </c>
      <c r="B48" s="886" t="s">
        <v>116</v>
      </c>
      <c r="C48" s="886"/>
      <c r="D48" s="886" t="s">
        <v>96</v>
      </c>
      <c r="E48" s="892" t="s">
        <v>262</v>
      </c>
      <c r="F48" s="893"/>
      <c r="G48" s="886" t="s">
        <v>263</v>
      </c>
      <c r="H48" s="886"/>
    </row>
    <row r="49" spans="1:8" x14ac:dyDescent="0.2">
      <c r="A49" s="886"/>
      <c r="B49" s="886"/>
      <c r="C49" s="886"/>
      <c r="D49" s="886"/>
      <c r="E49" s="886" t="s">
        <v>266</v>
      </c>
      <c r="F49" s="886" t="s">
        <v>267</v>
      </c>
      <c r="G49" s="886" t="s">
        <v>264</v>
      </c>
      <c r="H49" s="886" t="s">
        <v>265</v>
      </c>
    </row>
    <row r="50" spans="1:8" x14ac:dyDescent="0.2">
      <c r="A50" s="886"/>
      <c r="B50" s="886"/>
      <c r="C50" s="886"/>
      <c r="D50" s="886"/>
      <c r="E50" s="886"/>
      <c r="F50" s="886"/>
      <c r="G50" s="886"/>
      <c r="H50" s="886"/>
    </row>
    <row r="51" spans="1:8" x14ac:dyDescent="0.2">
      <c r="A51" s="507">
        <v>1</v>
      </c>
      <c r="B51" s="891" t="s">
        <v>411</v>
      </c>
      <c r="C51" s="891"/>
      <c r="D51" s="508" t="s">
        <v>96</v>
      </c>
      <c r="E51" s="509">
        <v>6</v>
      </c>
      <c r="F51" s="510">
        <f>E51*DADOS!$C$13</f>
        <v>72</v>
      </c>
      <c r="G51" s="511">
        <f>33.15*DADOS!$D$55</f>
        <v>33.15</v>
      </c>
      <c r="H51" s="512">
        <f>G51*F51</f>
        <v>2386.8000000000002</v>
      </c>
    </row>
    <row r="52" spans="1:8" x14ac:dyDescent="0.2">
      <c r="A52" s="507">
        <v>2</v>
      </c>
      <c r="B52" s="891" t="s">
        <v>276</v>
      </c>
      <c r="C52" s="891"/>
      <c r="D52" s="508" t="s">
        <v>96</v>
      </c>
      <c r="E52" s="509">
        <v>5</v>
      </c>
      <c r="F52" s="510">
        <f>E52</f>
        <v>5</v>
      </c>
      <c r="G52" s="511">
        <f>65*DADOS!$D$55</f>
        <v>65</v>
      </c>
      <c r="H52" s="512">
        <f>G52*F52</f>
        <v>325</v>
      </c>
    </row>
    <row r="53" spans="1:8" x14ac:dyDescent="0.2">
      <c r="A53" s="507">
        <v>3</v>
      </c>
      <c r="B53" s="891" t="s">
        <v>277</v>
      </c>
      <c r="C53" s="891"/>
      <c r="D53" s="508" t="s">
        <v>96</v>
      </c>
      <c r="E53" s="509">
        <v>20</v>
      </c>
      <c r="F53" s="510">
        <f>E53</f>
        <v>20</v>
      </c>
      <c r="G53" s="511">
        <f>108.58*DADOS!$D$55</f>
        <v>108.58</v>
      </c>
      <c r="H53" s="512">
        <f>G53*F53</f>
        <v>2171.6</v>
      </c>
    </row>
    <row r="54" spans="1:8" x14ac:dyDescent="0.2">
      <c r="A54" s="888" t="s">
        <v>268</v>
      </c>
      <c r="B54" s="889"/>
      <c r="C54" s="889"/>
      <c r="D54" s="889"/>
      <c r="E54" s="889"/>
      <c r="F54" s="889"/>
      <c r="G54" s="890"/>
      <c r="H54" s="513">
        <f>SUM(H51:H53)</f>
        <v>4883.3999999999996</v>
      </c>
    </row>
    <row r="55" spans="1:8" x14ac:dyDescent="0.2">
      <c r="A55" s="888" t="s">
        <v>269</v>
      </c>
      <c r="B55" s="889"/>
      <c r="C55" s="889"/>
      <c r="D55" s="889"/>
      <c r="E55" s="889"/>
      <c r="F55" s="889"/>
      <c r="G55" s="890"/>
      <c r="H55" s="514">
        <f>H54/DADOS!$C$13</f>
        <v>406.95</v>
      </c>
    </row>
    <row r="56" spans="1:8" x14ac:dyDescent="0.2">
      <c r="A56" s="888" t="s">
        <v>270</v>
      </c>
      <c r="B56" s="889"/>
      <c r="C56" s="889"/>
      <c r="D56" s="889"/>
      <c r="E56" s="889"/>
      <c r="F56" s="889"/>
      <c r="G56" s="890"/>
      <c r="H56" s="514">
        <f>H55/16</f>
        <v>25.43</v>
      </c>
    </row>
  </sheetData>
  <mergeCells count="73">
    <mergeCell ref="A32:H32"/>
    <mergeCell ref="A55:G55"/>
    <mergeCell ref="A56:G56"/>
    <mergeCell ref="G49:G50"/>
    <mergeCell ref="H49:H50"/>
    <mergeCell ref="B51:C51"/>
    <mergeCell ref="B52:C52"/>
    <mergeCell ref="B53:C53"/>
    <mergeCell ref="A54:G54"/>
    <mergeCell ref="A44:G44"/>
    <mergeCell ref="A45:G45"/>
    <mergeCell ref="A47:H47"/>
    <mergeCell ref="A48:A50"/>
    <mergeCell ref="B48:C50"/>
    <mergeCell ref="D48:D50"/>
    <mergeCell ref="E48:F48"/>
    <mergeCell ref="G48:H48"/>
    <mergeCell ref="E49:E50"/>
    <mergeCell ref="F49:F50"/>
    <mergeCell ref="H37:H38"/>
    <mergeCell ref="B39:C39"/>
    <mergeCell ref="B40:C40"/>
    <mergeCell ref="B41:C41"/>
    <mergeCell ref="B42:C42"/>
    <mergeCell ref="A43:G43"/>
    <mergeCell ref="A34:H34"/>
    <mergeCell ref="A35:H35"/>
    <mergeCell ref="A36:A38"/>
    <mergeCell ref="B36:C38"/>
    <mergeCell ref="D36:D38"/>
    <mergeCell ref="E36:F36"/>
    <mergeCell ref="G36:H36"/>
    <mergeCell ref="E37:E38"/>
    <mergeCell ref="F37:F38"/>
    <mergeCell ref="G37:G38"/>
    <mergeCell ref="A30:G30"/>
    <mergeCell ref="E22:F22"/>
    <mergeCell ref="B25:C25"/>
    <mergeCell ref="B26:C26"/>
    <mergeCell ref="B27:C27"/>
    <mergeCell ref="A28:G28"/>
    <mergeCell ref="A29:G29"/>
    <mergeCell ref="A22:A24"/>
    <mergeCell ref="B22:C24"/>
    <mergeCell ref="D22:D24"/>
    <mergeCell ref="G22:H22"/>
    <mergeCell ref="E23:E24"/>
    <mergeCell ref="F23:F24"/>
    <mergeCell ref="G23:G24"/>
    <mergeCell ref="H23:H24"/>
    <mergeCell ref="A21:H21"/>
    <mergeCell ref="E10:F10"/>
    <mergeCell ref="E11:E12"/>
    <mergeCell ref="F11:F12"/>
    <mergeCell ref="G11:G12"/>
    <mergeCell ref="A10:A12"/>
    <mergeCell ref="B10:C12"/>
    <mergeCell ref="D10:D12"/>
    <mergeCell ref="A17:G17"/>
    <mergeCell ref="A18:G18"/>
    <mergeCell ref="A19:G19"/>
    <mergeCell ref="B13:C13"/>
    <mergeCell ref="B14:C14"/>
    <mergeCell ref="B15:C15"/>
    <mergeCell ref="B16:C16"/>
    <mergeCell ref="A9:H9"/>
    <mergeCell ref="H11:H12"/>
    <mergeCell ref="A2:H2"/>
    <mergeCell ref="A3:H3"/>
    <mergeCell ref="A5:H5"/>
    <mergeCell ref="A6:H6"/>
    <mergeCell ref="A8:H8"/>
    <mergeCell ref="G10:H10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4" fitToHeight="0" orientation="portrait" r:id="rId1"/>
  <headerFooter>
    <oddHeader>&amp;L&amp;"Cambria,Negrito"&amp;8PROPOSTA N° 011/2017 - MME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5" tint="0.79998168889431442"/>
    <pageSetUpPr fitToPage="1"/>
  </sheetPr>
  <dimension ref="A1:H90"/>
  <sheetViews>
    <sheetView view="pageBreakPreview" zoomScale="120" zoomScaleNormal="100" zoomScaleSheetLayoutView="120" workbookViewId="0">
      <selection activeCell="A22" sqref="A22:H22"/>
    </sheetView>
  </sheetViews>
  <sheetFormatPr defaultRowHeight="12.75" x14ac:dyDescent="0.2"/>
  <cols>
    <col min="1" max="1" width="6.5703125" style="83" customWidth="1"/>
    <col min="2" max="2" width="17.140625" style="83" customWidth="1"/>
    <col min="3" max="3" width="22.42578125" style="83" customWidth="1"/>
    <col min="4" max="4" width="16.5703125" style="83" customWidth="1"/>
    <col min="5" max="5" width="17" style="83" customWidth="1"/>
    <col min="6" max="6" width="14.5703125" style="83" customWidth="1"/>
    <col min="7" max="7" width="13" style="83" customWidth="1"/>
    <col min="8" max="8" width="14" style="83" customWidth="1"/>
    <col min="9" max="11" width="9.140625" style="1"/>
    <col min="12" max="12" width="15.7109375" style="1" bestFit="1" customWidth="1"/>
    <col min="13" max="16384" width="9.140625" style="1"/>
  </cols>
  <sheetData>
    <row r="1" spans="1:8" x14ac:dyDescent="0.2">
      <c r="A1" s="922" t="str">
        <f>DADOS!A16</f>
        <v>MINISTÉRIO DE MINAS E ENERGIA - MME</v>
      </c>
      <c r="B1" s="922"/>
      <c r="C1" s="922"/>
      <c r="D1" s="922"/>
      <c r="E1" s="922"/>
      <c r="F1" s="922"/>
      <c r="G1" s="922"/>
      <c r="H1" s="922"/>
    </row>
    <row r="2" spans="1:8" x14ac:dyDescent="0.2">
      <c r="A2" s="922" t="str">
        <f>DADOS!A18</f>
        <v>PREGÃO ELETRÔNICO Nº 001/2017 - MME</v>
      </c>
      <c r="B2" s="922"/>
      <c r="C2" s="922"/>
      <c r="D2" s="922"/>
      <c r="E2" s="922"/>
      <c r="F2" s="922"/>
      <c r="G2" s="922"/>
      <c r="H2" s="922"/>
    </row>
    <row r="3" spans="1:8" x14ac:dyDescent="0.2">
      <c r="A3" s="1"/>
      <c r="B3" s="648"/>
      <c r="C3" s="648"/>
      <c r="D3" s="648"/>
      <c r="E3" s="648"/>
      <c r="F3" s="648"/>
      <c r="G3" s="648"/>
      <c r="H3" s="648"/>
    </row>
    <row r="4" spans="1:8" ht="27" customHeight="1" x14ac:dyDescent="0.2">
      <c r="A4" s="924" t="s">
        <v>428</v>
      </c>
      <c r="B4" s="924"/>
      <c r="C4" s="924"/>
      <c r="D4" s="924"/>
      <c r="E4" s="924"/>
      <c r="F4" s="924"/>
      <c r="G4" s="924"/>
      <c r="H4" s="924"/>
    </row>
    <row r="5" spans="1:8" s="12" customFormat="1" ht="14.25" customHeight="1" x14ac:dyDescent="0.2">
      <c r="A5" s="923" t="s">
        <v>429</v>
      </c>
      <c r="B5" s="923"/>
      <c r="C5" s="923"/>
      <c r="D5" s="923"/>
      <c r="E5" s="923"/>
      <c r="F5" s="923"/>
      <c r="G5" s="923"/>
      <c r="H5" s="923"/>
    </row>
    <row r="6" spans="1:8" s="13" customFormat="1" ht="24" customHeight="1" x14ac:dyDescent="0.2">
      <c r="A6" s="900" t="s">
        <v>169</v>
      </c>
      <c r="B6" s="900"/>
      <c r="C6" s="900"/>
      <c r="D6" s="524" t="s">
        <v>190</v>
      </c>
      <c r="E6" s="524" t="s">
        <v>191</v>
      </c>
      <c r="F6" s="524" t="s">
        <v>192</v>
      </c>
      <c r="G6" s="524" t="s">
        <v>95</v>
      </c>
      <c r="H6" s="524" t="s">
        <v>346</v>
      </c>
    </row>
    <row r="7" spans="1:8" s="13" customFormat="1" x14ac:dyDescent="0.2">
      <c r="A7" s="901" t="s">
        <v>166</v>
      </c>
      <c r="B7" s="902"/>
      <c r="C7" s="903"/>
      <c r="D7" s="517" t="s">
        <v>167</v>
      </c>
      <c r="E7" s="518" t="s">
        <v>183</v>
      </c>
      <c r="F7" s="517" t="s">
        <v>168</v>
      </c>
      <c r="G7" s="518" t="s">
        <v>188</v>
      </c>
      <c r="H7" s="517" t="s">
        <v>189</v>
      </c>
    </row>
    <row r="8" spans="1:8" s="48" customFormat="1" x14ac:dyDescent="0.2">
      <c r="A8" s="519" t="s">
        <v>145</v>
      </c>
      <c r="B8" s="904" t="str">
        <f>'SUPERVISOR - DIURNO - 44h'!$B$19</f>
        <v>Supervisor Diurno Desarmado - 44 h./semana</v>
      </c>
      <c r="C8" s="904"/>
      <c r="D8" s="520">
        <f>'SUPERVISOR - DIURNO - 44h'!K139</f>
        <v>7922.18</v>
      </c>
      <c r="E8" s="521">
        <f>DADOS!K73</f>
        <v>1</v>
      </c>
      <c r="F8" s="522">
        <f>D8*E8</f>
        <v>7922.18</v>
      </c>
      <c r="G8" s="521">
        <f>DADOS!J73</f>
        <v>1</v>
      </c>
      <c r="H8" s="522">
        <f>F8*G8</f>
        <v>7922.18</v>
      </c>
    </row>
    <row r="9" spans="1:8" s="48" customFormat="1" x14ac:dyDescent="0.2">
      <c r="A9" s="519" t="s">
        <v>343</v>
      </c>
      <c r="B9" s="904" t="str">
        <f>'VIGILANTE - DIURNO 12x36 DD'!B19</f>
        <v>Vigilante Diurno Desarmado - 12x36hs</v>
      </c>
      <c r="C9" s="904">
        <f>'VIGILANTE - DIURNO 12x36 DD'!F139</f>
        <v>0</v>
      </c>
      <c r="D9" s="520">
        <f>'VIGILANTE - DIURNO 12x36 DD'!K139</f>
        <v>7163.76</v>
      </c>
      <c r="E9" s="521">
        <f>DADOS!K74</f>
        <v>2</v>
      </c>
      <c r="F9" s="522">
        <f>D9*E9</f>
        <v>14327.52</v>
      </c>
      <c r="G9" s="521">
        <f>DADOS!J74</f>
        <v>6</v>
      </c>
      <c r="H9" s="522">
        <f>F9*G9</f>
        <v>85965.119999999995</v>
      </c>
    </row>
    <row r="10" spans="1:8" s="48" customFormat="1" x14ac:dyDescent="0.2">
      <c r="A10" s="519" t="s">
        <v>344</v>
      </c>
      <c r="B10" s="904" t="str">
        <f>'VIGILANTE - NOTURNO 12x36 ND'!B19:D19</f>
        <v>Vigilante Noturno Desarmado - 12x36hs</v>
      </c>
      <c r="C10" s="904"/>
      <c r="D10" s="520">
        <f>'VIGILANTE - NOTURNO 12x36 ND'!K139</f>
        <v>8047.51</v>
      </c>
      <c r="E10" s="521">
        <f>DADOS!K75</f>
        <v>2</v>
      </c>
      <c r="F10" s="522">
        <f>D10*E10</f>
        <v>16095.02</v>
      </c>
      <c r="G10" s="521">
        <f>DADOS!J75</f>
        <v>1</v>
      </c>
      <c r="H10" s="522">
        <f>F10*G10</f>
        <v>16095.02</v>
      </c>
    </row>
    <row r="11" spans="1:8" x14ac:dyDescent="0.2">
      <c r="A11" s="1"/>
      <c r="B11" s="910" t="s">
        <v>347</v>
      </c>
      <c r="C11" s="911"/>
      <c r="D11" s="911"/>
      <c r="E11" s="911"/>
      <c r="F11" s="911"/>
      <c r="G11" s="659"/>
      <c r="H11" s="523">
        <f>SUM(H8:H10)</f>
        <v>109982.32</v>
      </c>
    </row>
    <row r="12" spans="1:8" x14ac:dyDescent="0.2">
      <c r="A12" s="646"/>
      <c r="B12" s="910" t="s">
        <v>352</v>
      </c>
      <c r="C12" s="911"/>
      <c r="D12" s="911"/>
      <c r="E12" s="911"/>
      <c r="F12" s="911"/>
      <c r="G12" s="646"/>
      <c r="H12" s="658">
        <f>12*H11</f>
        <v>1319787.8400000001</v>
      </c>
    </row>
    <row r="13" spans="1:8" s="73" customFormat="1" ht="16.5" customHeight="1" x14ac:dyDescent="0.2">
      <c r="A13" s="920"/>
      <c r="B13" s="920"/>
      <c r="C13" s="920"/>
      <c r="D13" s="920"/>
      <c r="E13" s="920"/>
      <c r="F13" s="920"/>
      <c r="G13" s="920"/>
      <c r="H13" s="920"/>
    </row>
    <row r="14" spans="1:8" s="73" customFormat="1" x14ac:dyDescent="0.2">
      <c r="A14" s="895" t="s">
        <v>353</v>
      </c>
      <c r="B14" s="895"/>
      <c r="C14" s="895"/>
      <c r="D14" s="895"/>
      <c r="E14" s="895"/>
      <c r="F14" s="895"/>
      <c r="G14" s="895"/>
      <c r="H14" s="895"/>
    </row>
    <row r="15" spans="1:8" s="73" customFormat="1" x14ac:dyDescent="0.2">
      <c r="A15" s="896" t="s">
        <v>170</v>
      </c>
      <c r="B15" s="896"/>
      <c r="C15" s="896"/>
      <c r="D15" s="896"/>
      <c r="E15" s="896"/>
      <c r="F15" s="896"/>
      <c r="G15" s="896"/>
      <c r="H15" s="896"/>
    </row>
    <row r="16" spans="1:8" s="73" customFormat="1" ht="21" x14ac:dyDescent="0.2">
      <c r="A16" s="524" t="s">
        <v>354</v>
      </c>
      <c r="B16" s="897" t="s">
        <v>355</v>
      </c>
      <c r="C16" s="898"/>
      <c r="D16" s="899"/>
      <c r="E16" s="524" t="s">
        <v>356</v>
      </c>
      <c r="F16" s="524" t="s">
        <v>357</v>
      </c>
      <c r="G16" s="896" t="s">
        <v>358</v>
      </c>
      <c r="H16" s="896"/>
    </row>
    <row r="17" spans="1:8" s="73" customFormat="1" x14ac:dyDescent="0.2">
      <c r="A17" s="519" t="s">
        <v>145</v>
      </c>
      <c r="B17" s="905" t="str">
        <f>DADOS!H73</f>
        <v>Supervisor Diurno Desarmado - 44hs semanais envolvendo 1 (um) funcionário</v>
      </c>
      <c r="C17" s="906"/>
      <c r="D17" s="907"/>
      <c r="E17" s="525">
        <f t="shared" ref="E17:F19" si="0">F8</f>
        <v>7922.18</v>
      </c>
      <c r="F17" s="526">
        <f t="shared" si="0"/>
        <v>1</v>
      </c>
      <c r="G17" s="908">
        <f>E17*F17</f>
        <v>7922.18</v>
      </c>
      <c r="H17" s="909"/>
    </row>
    <row r="18" spans="1:8" s="73" customFormat="1" ht="21" customHeight="1" x14ac:dyDescent="0.2">
      <c r="A18" s="519" t="s">
        <v>343</v>
      </c>
      <c r="B18" s="905" t="str">
        <f>DADOS!H74</f>
        <v>Vigilante Diurno Desarmado - 12 horas de segunda-feira a domingo, envolvendo 2 (dois) vigilantes em turnos de 12x36hs</v>
      </c>
      <c r="C18" s="906"/>
      <c r="D18" s="907"/>
      <c r="E18" s="525">
        <f t="shared" si="0"/>
        <v>14327.52</v>
      </c>
      <c r="F18" s="526">
        <f t="shared" si="0"/>
        <v>6</v>
      </c>
      <c r="G18" s="908">
        <f>E18*F18</f>
        <v>85965.119999999995</v>
      </c>
      <c r="H18" s="909"/>
    </row>
    <row r="19" spans="1:8" s="73" customFormat="1" ht="24" customHeight="1" x14ac:dyDescent="0.2">
      <c r="A19" s="519" t="s">
        <v>344</v>
      </c>
      <c r="B19" s="905" t="str">
        <f>DADOS!H75</f>
        <v>Vigilante Noturno Desarmado - 12 horas de segunda-feira a domingo, envolvendo 2 (dois) vigilantes em turnos de 12x36hs</v>
      </c>
      <c r="C19" s="906"/>
      <c r="D19" s="907"/>
      <c r="E19" s="525">
        <f t="shared" si="0"/>
        <v>16095.02</v>
      </c>
      <c r="F19" s="526">
        <f t="shared" si="0"/>
        <v>1</v>
      </c>
      <c r="G19" s="908">
        <f>E19*F19</f>
        <v>16095.02</v>
      </c>
      <c r="H19" s="909"/>
    </row>
    <row r="20" spans="1:8" s="73" customFormat="1" x14ac:dyDescent="0.2">
      <c r="A20" s="917" t="s">
        <v>62</v>
      </c>
      <c r="B20" s="918"/>
      <c r="C20" s="918"/>
      <c r="D20" s="918"/>
      <c r="E20" s="919"/>
      <c r="F20" s="519">
        <f>SUM(F17:F19)</f>
        <v>8</v>
      </c>
      <c r="G20" s="914">
        <f>SUM(G17:H19)</f>
        <v>109982.32</v>
      </c>
      <c r="H20" s="914"/>
    </row>
    <row r="21" spans="1:8" s="73" customFormat="1" ht="6.75" customHeight="1" x14ac:dyDescent="0.2">
      <c r="A21" s="920"/>
      <c r="B21" s="920"/>
      <c r="C21" s="920"/>
      <c r="D21" s="920"/>
      <c r="E21" s="920"/>
      <c r="F21" s="920"/>
      <c r="G21" s="920"/>
      <c r="H21" s="920"/>
    </row>
    <row r="22" spans="1:8" s="73" customFormat="1" x14ac:dyDescent="0.2">
      <c r="A22" s="895" t="s">
        <v>348</v>
      </c>
      <c r="B22" s="895"/>
      <c r="C22" s="895"/>
      <c r="D22" s="895"/>
      <c r="E22" s="895"/>
      <c r="F22" s="895"/>
      <c r="G22" s="895"/>
      <c r="H22" s="895"/>
    </row>
    <row r="23" spans="1:8" s="73" customFormat="1" x14ac:dyDescent="0.2">
      <c r="A23" s="900" t="s">
        <v>146</v>
      </c>
      <c r="B23" s="900"/>
      <c r="C23" s="900"/>
      <c r="D23" s="900"/>
      <c r="E23" s="900"/>
      <c r="F23" s="900"/>
      <c r="G23" s="900"/>
      <c r="H23" s="900"/>
    </row>
    <row r="24" spans="1:8" s="73" customFormat="1" x14ac:dyDescent="0.2">
      <c r="A24" s="527" t="s">
        <v>1</v>
      </c>
      <c r="B24" s="900" t="s">
        <v>116</v>
      </c>
      <c r="C24" s="900"/>
      <c r="D24" s="900"/>
      <c r="E24" s="900"/>
      <c r="F24" s="900"/>
      <c r="G24" s="896" t="s">
        <v>141</v>
      </c>
      <c r="H24" s="896"/>
    </row>
    <row r="25" spans="1:8" s="73" customFormat="1" x14ac:dyDescent="0.2">
      <c r="A25" s="521" t="s">
        <v>349</v>
      </c>
      <c r="B25" s="905" t="str">
        <f>B8</f>
        <v>Supervisor Diurno Desarmado - 44 h./semana</v>
      </c>
      <c r="C25" s="906"/>
      <c r="D25" s="906"/>
      <c r="E25" s="906"/>
      <c r="F25" s="907"/>
      <c r="G25" s="915">
        <f>G17</f>
        <v>7922.18</v>
      </c>
      <c r="H25" s="916"/>
    </row>
    <row r="26" spans="1:8" s="73" customFormat="1" x14ac:dyDescent="0.2">
      <c r="A26" s="521" t="s">
        <v>350</v>
      </c>
      <c r="B26" s="905" t="str">
        <f>B9</f>
        <v>Vigilante Diurno Desarmado - 12x36hs</v>
      </c>
      <c r="C26" s="906"/>
      <c r="D26" s="906"/>
      <c r="E26" s="906"/>
      <c r="F26" s="907"/>
      <c r="G26" s="915">
        <f>G18</f>
        <v>85965.119999999995</v>
      </c>
      <c r="H26" s="916"/>
    </row>
    <row r="27" spans="1:8" s="73" customFormat="1" x14ac:dyDescent="0.2">
      <c r="A27" s="521" t="s">
        <v>351</v>
      </c>
      <c r="B27" s="905" t="str">
        <f>B10</f>
        <v>Vigilante Noturno Desarmado - 12x36hs</v>
      </c>
      <c r="C27" s="906"/>
      <c r="D27" s="906"/>
      <c r="E27" s="906"/>
      <c r="F27" s="907"/>
      <c r="G27" s="915">
        <f>G19</f>
        <v>16095.02</v>
      </c>
      <c r="H27" s="916"/>
    </row>
    <row r="28" spans="1:8" s="73" customFormat="1" x14ac:dyDescent="0.2">
      <c r="A28" s="527" t="s">
        <v>2</v>
      </c>
      <c r="B28" s="910" t="s">
        <v>147</v>
      </c>
      <c r="C28" s="911"/>
      <c r="D28" s="911"/>
      <c r="E28" s="911"/>
      <c r="F28" s="921"/>
      <c r="G28" s="912">
        <f>SUM(G25:H27)</f>
        <v>109982.32</v>
      </c>
      <c r="H28" s="912"/>
    </row>
    <row r="29" spans="1:8" s="73" customFormat="1" x14ac:dyDescent="0.2">
      <c r="A29" s="527" t="s">
        <v>4</v>
      </c>
      <c r="B29" s="910" t="s">
        <v>352</v>
      </c>
      <c r="C29" s="911"/>
      <c r="D29" s="911"/>
      <c r="E29" s="911"/>
      <c r="F29" s="911"/>
      <c r="G29" s="912">
        <f>G28*12</f>
        <v>1319787.8400000001</v>
      </c>
      <c r="H29" s="912"/>
    </row>
    <row r="30" spans="1:8" s="73" customFormat="1" ht="6.75" customHeight="1" x14ac:dyDescent="0.2">
      <c r="A30" s="913"/>
      <c r="B30" s="913"/>
      <c r="C30" s="913"/>
      <c r="D30" s="913"/>
      <c r="E30" s="913"/>
      <c r="F30" s="913"/>
      <c r="G30" s="913"/>
      <c r="H30" s="913"/>
    </row>
    <row r="31" spans="1:8" x14ac:dyDescent="0.2">
      <c r="A31" s="923" t="s">
        <v>430</v>
      </c>
      <c r="B31" s="923"/>
      <c r="C31" s="923"/>
      <c r="D31" s="923"/>
      <c r="E31" s="923"/>
      <c r="F31" s="923"/>
      <c r="G31" s="923"/>
      <c r="H31" s="923"/>
    </row>
    <row r="32" spans="1:8" ht="21" x14ac:dyDescent="0.2">
      <c r="A32" s="900" t="s">
        <v>169</v>
      </c>
      <c r="B32" s="900"/>
      <c r="C32" s="900"/>
      <c r="D32" s="524" t="s">
        <v>190</v>
      </c>
      <c r="E32" s="524" t="s">
        <v>191</v>
      </c>
      <c r="F32" s="524" t="s">
        <v>192</v>
      </c>
      <c r="G32" s="524" t="s">
        <v>95</v>
      </c>
      <c r="H32" s="524" t="s">
        <v>346</v>
      </c>
    </row>
    <row r="33" spans="1:8" x14ac:dyDescent="0.2">
      <c r="A33" s="901" t="s">
        <v>166</v>
      </c>
      <c r="B33" s="902"/>
      <c r="C33" s="903"/>
      <c r="D33" s="517" t="s">
        <v>167</v>
      </c>
      <c r="E33" s="518" t="s">
        <v>183</v>
      </c>
      <c r="F33" s="517" t="s">
        <v>168</v>
      </c>
      <c r="G33" s="518" t="s">
        <v>188</v>
      </c>
      <c r="H33" s="517" t="s">
        <v>189</v>
      </c>
    </row>
    <row r="34" spans="1:8" ht="12.75" customHeight="1" x14ac:dyDescent="0.2">
      <c r="A34" s="519" t="s">
        <v>145</v>
      </c>
      <c r="B34" s="904" t="str">
        <f>'SUPERVISOR - DIURNO - 44h'!$B$19</f>
        <v>Supervisor Diurno Desarmado - 44 h./semana</v>
      </c>
      <c r="C34" s="904"/>
      <c r="D34" s="520">
        <f>'SUPERVISOR - DIURNO - 44h'!M139</f>
        <v>7713.4</v>
      </c>
      <c r="E34" s="521">
        <f>DADOS!K73</f>
        <v>1</v>
      </c>
      <c r="F34" s="522">
        <f>D34*E34</f>
        <v>7713.4</v>
      </c>
      <c r="G34" s="528">
        <v>2</v>
      </c>
      <c r="H34" s="522">
        <f>F34*G34</f>
        <v>15426.8</v>
      </c>
    </row>
    <row r="35" spans="1:8" ht="12" customHeight="1" x14ac:dyDescent="0.2">
      <c r="A35" s="519" t="s">
        <v>343</v>
      </c>
      <c r="B35" s="904" t="str">
        <f>'VIGILANTE - DIURNO 12x36 DD'!B45</f>
        <v>Desconto Legal do transporte 6%</v>
      </c>
      <c r="C35" s="904">
        <f>'VIGILANTE - DIURNO 12x36 DD'!F165</f>
        <v>0</v>
      </c>
      <c r="D35" s="520">
        <f>'VIGILANTE - DIURNO 12x36 DD'!M139</f>
        <v>6974.57</v>
      </c>
      <c r="E35" s="521">
        <f>DADOS!K74</f>
        <v>2</v>
      </c>
      <c r="F35" s="522">
        <f>D35*E35</f>
        <v>13949.14</v>
      </c>
      <c r="G35" s="521">
        <v>6</v>
      </c>
      <c r="H35" s="522">
        <f>F35*G35</f>
        <v>83694.84</v>
      </c>
    </row>
    <row r="36" spans="1:8" ht="12" customHeight="1" x14ac:dyDescent="0.2">
      <c r="A36" s="519" t="s">
        <v>344</v>
      </c>
      <c r="B36" s="904" t="str">
        <f>'VIGILANTE - NOTURNO 12x36 ND'!B45:D45</f>
        <v>Desconto Legal do transporte 6%</v>
      </c>
      <c r="C36" s="904"/>
      <c r="D36" s="520">
        <f>'VIGILANTE - NOTURNO 12x36 ND'!M139</f>
        <v>7835.89</v>
      </c>
      <c r="E36" s="521">
        <f>DADOS!K75</f>
        <v>2</v>
      </c>
      <c r="F36" s="522">
        <f>D36*E36</f>
        <v>15671.78</v>
      </c>
      <c r="G36" s="521">
        <v>1</v>
      </c>
      <c r="H36" s="522">
        <f>F36*G36</f>
        <v>15671.78</v>
      </c>
    </row>
    <row r="37" spans="1:8" ht="12" customHeight="1" x14ac:dyDescent="0.2">
      <c r="A37" s="1"/>
      <c r="B37" s="910" t="s">
        <v>347</v>
      </c>
      <c r="C37" s="911"/>
      <c r="D37" s="911"/>
      <c r="E37" s="911"/>
      <c r="F37" s="911"/>
      <c r="G37" s="659"/>
      <c r="H37" s="523">
        <f>SUM(H34:H36)</f>
        <v>114793.42</v>
      </c>
    </row>
    <row r="38" spans="1:8" ht="15" customHeight="1" x14ac:dyDescent="0.2">
      <c r="A38" s="646"/>
      <c r="B38" s="910" t="s">
        <v>352</v>
      </c>
      <c r="C38" s="911"/>
      <c r="D38" s="911"/>
      <c r="E38" s="911"/>
      <c r="F38" s="911"/>
      <c r="G38" s="646"/>
      <c r="H38" s="658">
        <f>12*H37</f>
        <v>1377521.04</v>
      </c>
    </row>
    <row r="39" spans="1:8" ht="15" customHeight="1" x14ac:dyDescent="0.2">
      <c r="A39" s="646"/>
      <c r="B39" s="649"/>
      <c r="C39" s="650"/>
      <c r="D39" s="650"/>
      <c r="E39" s="650"/>
      <c r="F39" s="650"/>
      <c r="G39" s="646"/>
      <c r="H39" s="658"/>
    </row>
    <row r="40" spans="1:8" ht="12" customHeight="1" x14ac:dyDescent="0.2">
      <c r="A40" s="895" t="s">
        <v>353</v>
      </c>
      <c r="B40" s="895"/>
      <c r="C40" s="895"/>
      <c r="D40" s="895"/>
      <c r="E40" s="895"/>
      <c r="F40" s="895"/>
      <c r="G40" s="895"/>
      <c r="H40" s="895"/>
    </row>
    <row r="41" spans="1:8" ht="12" customHeight="1" x14ac:dyDescent="0.2">
      <c r="A41" s="896" t="s">
        <v>170</v>
      </c>
      <c r="B41" s="896"/>
      <c r="C41" s="896"/>
      <c r="D41" s="896"/>
      <c r="E41" s="896"/>
      <c r="F41" s="896"/>
      <c r="G41" s="896"/>
      <c r="H41" s="896"/>
    </row>
    <row r="42" spans="1:8" ht="21.75" customHeight="1" x14ac:dyDescent="0.2">
      <c r="A42" s="524" t="s">
        <v>354</v>
      </c>
      <c r="B42" s="897" t="s">
        <v>355</v>
      </c>
      <c r="C42" s="898"/>
      <c r="D42" s="899"/>
      <c r="E42" s="524" t="s">
        <v>356</v>
      </c>
      <c r="F42" s="524" t="s">
        <v>357</v>
      </c>
      <c r="G42" s="896" t="s">
        <v>358</v>
      </c>
      <c r="H42" s="896"/>
    </row>
    <row r="43" spans="1:8" ht="12" customHeight="1" x14ac:dyDescent="0.2">
      <c r="A43" s="519" t="s">
        <v>145</v>
      </c>
      <c r="B43" s="905" t="str">
        <f>DADOS!H99</f>
        <v>PERÍODO à partir de 06 de abril/2018</v>
      </c>
      <c r="C43" s="906"/>
      <c r="D43" s="907"/>
      <c r="E43" s="525">
        <f t="shared" ref="E43:F45" si="1">F34</f>
        <v>7713.4</v>
      </c>
      <c r="F43" s="526">
        <f t="shared" si="1"/>
        <v>2</v>
      </c>
      <c r="G43" s="908">
        <f>E43*F43</f>
        <v>15426.8</v>
      </c>
      <c r="H43" s="909"/>
    </row>
    <row r="44" spans="1:8" ht="12" customHeight="1" x14ac:dyDescent="0.2">
      <c r="A44" s="519" t="s">
        <v>343</v>
      </c>
      <c r="B44" s="905" t="str">
        <f>DADOS!H100</f>
        <v>CATEGORIA</v>
      </c>
      <c r="C44" s="906"/>
      <c r="D44" s="907"/>
      <c r="E44" s="525">
        <f t="shared" si="1"/>
        <v>13949.14</v>
      </c>
      <c r="F44" s="526">
        <f t="shared" si="1"/>
        <v>6</v>
      </c>
      <c r="G44" s="908">
        <f>E44*F44</f>
        <v>83694.84</v>
      </c>
      <c r="H44" s="909"/>
    </row>
    <row r="45" spans="1:8" ht="12" customHeight="1" x14ac:dyDescent="0.2">
      <c r="A45" s="519" t="s">
        <v>344</v>
      </c>
      <c r="B45" s="905" t="str">
        <f>DADOS!H101</f>
        <v>Supervisor Diurno Desarmado - 44hs semanais envolvendo 1 (um) funcionário</v>
      </c>
      <c r="C45" s="906"/>
      <c r="D45" s="907"/>
      <c r="E45" s="525">
        <f t="shared" si="1"/>
        <v>15671.78</v>
      </c>
      <c r="F45" s="526">
        <f t="shared" si="1"/>
        <v>1</v>
      </c>
      <c r="G45" s="908">
        <f>E45*F45</f>
        <v>15671.78</v>
      </c>
      <c r="H45" s="909"/>
    </row>
    <row r="46" spans="1:8" ht="12" customHeight="1" x14ac:dyDescent="0.2">
      <c r="A46" s="917" t="s">
        <v>62</v>
      </c>
      <c r="B46" s="918"/>
      <c r="C46" s="918"/>
      <c r="D46" s="918"/>
      <c r="E46" s="919"/>
      <c r="F46" s="519">
        <f>SUM(F43:F45)</f>
        <v>9</v>
      </c>
      <c r="G46" s="914">
        <f>SUM(G43:H45)</f>
        <v>114793.42</v>
      </c>
      <c r="H46" s="914"/>
    </row>
    <row r="47" spans="1:8" ht="12" customHeight="1" x14ac:dyDescent="0.2">
      <c r="A47" s="920"/>
      <c r="B47" s="920"/>
      <c r="C47" s="920"/>
      <c r="D47" s="920"/>
      <c r="E47" s="920"/>
      <c r="F47" s="920"/>
      <c r="G47" s="920"/>
      <c r="H47" s="920"/>
    </row>
    <row r="48" spans="1:8" ht="12" customHeight="1" x14ac:dyDescent="0.2">
      <c r="A48" s="895" t="s">
        <v>348</v>
      </c>
      <c r="B48" s="895"/>
      <c r="C48" s="895"/>
      <c r="D48" s="895"/>
      <c r="E48" s="895"/>
      <c r="F48" s="895"/>
      <c r="G48" s="895"/>
      <c r="H48" s="895"/>
    </row>
    <row r="49" spans="1:8" ht="12" customHeight="1" x14ac:dyDescent="0.2">
      <c r="A49" s="900" t="s">
        <v>146</v>
      </c>
      <c r="B49" s="900"/>
      <c r="C49" s="900"/>
      <c r="D49" s="900"/>
      <c r="E49" s="900"/>
      <c r="F49" s="900"/>
      <c r="G49" s="900"/>
      <c r="H49" s="900"/>
    </row>
    <row r="50" spans="1:8" ht="12" customHeight="1" x14ac:dyDescent="0.2">
      <c r="A50" s="527" t="s">
        <v>1</v>
      </c>
      <c r="B50" s="900" t="s">
        <v>116</v>
      </c>
      <c r="C50" s="900"/>
      <c r="D50" s="900"/>
      <c r="E50" s="900"/>
      <c r="F50" s="900"/>
      <c r="G50" s="896" t="s">
        <v>141</v>
      </c>
      <c r="H50" s="896"/>
    </row>
    <row r="51" spans="1:8" ht="12" customHeight="1" x14ac:dyDescent="0.2">
      <c r="A51" s="521" t="s">
        <v>349</v>
      </c>
      <c r="B51" s="905" t="str">
        <f>B34</f>
        <v>Supervisor Diurno Desarmado - 44 h./semana</v>
      </c>
      <c r="C51" s="906"/>
      <c r="D51" s="906"/>
      <c r="E51" s="906"/>
      <c r="F51" s="907"/>
      <c r="G51" s="915">
        <f>G43</f>
        <v>15426.8</v>
      </c>
      <c r="H51" s="916"/>
    </row>
    <row r="52" spans="1:8" ht="12" customHeight="1" x14ac:dyDescent="0.2">
      <c r="A52" s="521" t="s">
        <v>350</v>
      </c>
      <c r="B52" s="905" t="str">
        <f>B35</f>
        <v>Desconto Legal do transporte 6%</v>
      </c>
      <c r="C52" s="906"/>
      <c r="D52" s="906"/>
      <c r="E52" s="906"/>
      <c r="F52" s="907"/>
      <c r="G52" s="915">
        <f>G44</f>
        <v>83694.84</v>
      </c>
      <c r="H52" s="916"/>
    </row>
    <row r="53" spans="1:8" ht="12" customHeight="1" x14ac:dyDescent="0.2">
      <c r="A53" s="521" t="s">
        <v>351</v>
      </c>
      <c r="B53" s="905" t="str">
        <f>B36</f>
        <v>Desconto Legal do transporte 6%</v>
      </c>
      <c r="C53" s="906"/>
      <c r="D53" s="906"/>
      <c r="E53" s="906"/>
      <c r="F53" s="907"/>
      <c r="G53" s="915">
        <f>G45</f>
        <v>15671.78</v>
      </c>
      <c r="H53" s="916"/>
    </row>
    <row r="54" spans="1:8" ht="12" customHeight="1" x14ac:dyDescent="0.2">
      <c r="A54" s="527" t="s">
        <v>2</v>
      </c>
      <c r="B54" s="910" t="s">
        <v>147</v>
      </c>
      <c r="C54" s="911"/>
      <c r="D54" s="911"/>
      <c r="E54" s="911"/>
      <c r="F54" s="921"/>
      <c r="G54" s="912">
        <f>SUM(G51:H53)</f>
        <v>114793.42</v>
      </c>
      <c r="H54" s="912"/>
    </row>
    <row r="55" spans="1:8" ht="12" customHeight="1" x14ac:dyDescent="0.2">
      <c r="A55" s="527" t="s">
        <v>4</v>
      </c>
      <c r="B55" s="910" t="s">
        <v>352</v>
      </c>
      <c r="C55" s="911"/>
      <c r="D55" s="911"/>
      <c r="E55" s="911"/>
      <c r="F55" s="911"/>
      <c r="G55" s="912">
        <f>G54*12</f>
        <v>1377521.04</v>
      </c>
      <c r="H55" s="912"/>
    </row>
    <row r="56" spans="1:8" ht="12" customHeight="1" x14ac:dyDescent="0.2"/>
    <row r="57" spans="1:8" ht="12" customHeight="1" x14ac:dyDescent="0.2"/>
    <row r="58" spans="1:8" ht="12" customHeight="1" x14ac:dyDescent="0.2"/>
    <row r="59" spans="1:8" ht="12" customHeight="1" x14ac:dyDescent="0.2">
      <c r="A59" s="881" t="s">
        <v>403</v>
      </c>
      <c r="B59" s="881"/>
      <c r="C59" s="881"/>
      <c r="D59" s="881"/>
      <c r="E59" s="881"/>
      <c r="F59" s="881"/>
      <c r="G59" s="881"/>
      <c r="H59" s="881"/>
    </row>
    <row r="60" spans="1:8" ht="12" customHeight="1" x14ac:dyDescent="0.2">
      <c r="A60" s="895" t="s">
        <v>345</v>
      </c>
      <c r="B60" s="895"/>
      <c r="C60" s="895"/>
      <c r="D60" s="895"/>
      <c r="E60" s="895"/>
      <c r="F60" s="895"/>
      <c r="G60" s="895"/>
      <c r="H60" s="895"/>
    </row>
    <row r="61" spans="1:8" ht="12" customHeight="1" x14ac:dyDescent="0.2">
      <c r="A61" s="900" t="s">
        <v>169</v>
      </c>
      <c r="B61" s="900"/>
      <c r="C61" s="900"/>
      <c r="D61" s="647" t="s">
        <v>190</v>
      </c>
      <c r="E61" s="647" t="s">
        <v>191</v>
      </c>
      <c r="F61" s="647" t="s">
        <v>192</v>
      </c>
      <c r="G61" s="647" t="s">
        <v>95</v>
      </c>
      <c r="H61" s="647" t="s">
        <v>346</v>
      </c>
    </row>
    <row r="62" spans="1:8" ht="12" customHeight="1" x14ac:dyDescent="0.2">
      <c r="A62" s="901" t="s">
        <v>166</v>
      </c>
      <c r="B62" s="902"/>
      <c r="C62" s="903"/>
      <c r="D62" s="517" t="s">
        <v>167</v>
      </c>
      <c r="E62" s="518" t="s">
        <v>183</v>
      </c>
      <c r="F62" s="517" t="s">
        <v>168</v>
      </c>
      <c r="G62" s="518" t="s">
        <v>188</v>
      </c>
      <c r="H62" s="517" t="s">
        <v>189</v>
      </c>
    </row>
    <row r="63" spans="1:8" ht="12" customHeight="1" x14ac:dyDescent="0.2">
      <c r="A63" s="519" t="s">
        <v>145</v>
      </c>
      <c r="B63" s="904" t="str">
        <f>'SUPERVISOR - DIURNO - 44h'!$B$19</f>
        <v>Supervisor Diurno Desarmado - 44 h./semana</v>
      </c>
      <c r="C63" s="904"/>
      <c r="D63" s="520">
        <f>'SUPERVISOR - DIURNO - 44h'!K193</f>
        <v>0</v>
      </c>
      <c r="E63" s="521">
        <f>DADOS!K127</f>
        <v>0</v>
      </c>
      <c r="F63" s="522">
        <f>D63*E63</f>
        <v>0</v>
      </c>
      <c r="G63" s="521">
        <f>DADOS!J127</f>
        <v>0</v>
      </c>
      <c r="H63" s="522">
        <f>F63*G63</f>
        <v>0</v>
      </c>
    </row>
    <row r="64" spans="1:8" ht="12" customHeight="1" x14ac:dyDescent="0.2">
      <c r="A64" s="519" t="s">
        <v>343</v>
      </c>
      <c r="B64" s="904" t="str">
        <f>'VIGILANTE - DIURNO 12x36 DD'!B73</f>
        <v>SEBRAE</v>
      </c>
      <c r="C64" s="904">
        <f>'VIGILANTE - DIURNO 12x36 DD'!F193</f>
        <v>0</v>
      </c>
      <c r="D64" s="520">
        <f>'VIGILANTE - DIURNO 12x36 DD'!K193</f>
        <v>0</v>
      </c>
      <c r="E64" s="521">
        <f>DADOS!K128</f>
        <v>0</v>
      </c>
      <c r="F64" s="522">
        <f>D64*E64</f>
        <v>0</v>
      </c>
      <c r="G64" s="521">
        <f>DADOS!J128</f>
        <v>0</v>
      </c>
      <c r="H64" s="522">
        <f>F64*G64</f>
        <v>0</v>
      </c>
    </row>
    <row r="65" spans="1:8" ht="12" customHeight="1" x14ac:dyDescent="0.2">
      <c r="A65" s="519" t="s">
        <v>344</v>
      </c>
      <c r="B65" s="904" t="str">
        <f>'VIGILANTE - NOTURNO 12x36 ND'!B73:D73</f>
        <v>SEBRAE</v>
      </c>
      <c r="C65" s="904"/>
      <c r="D65" s="520">
        <f>'VIGILANTE - NOTURNO 12x36 ND'!K193</f>
        <v>0</v>
      </c>
      <c r="E65" s="521">
        <f>DADOS!K129</f>
        <v>0</v>
      </c>
      <c r="F65" s="522">
        <f>D65*E65</f>
        <v>0</v>
      </c>
      <c r="G65" s="521">
        <f>DADOS!J129</f>
        <v>0</v>
      </c>
      <c r="H65" s="522">
        <f>F65*G65</f>
        <v>0</v>
      </c>
    </row>
    <row r="66" spans="1:8" ht="12" customHeight="1" x14ac:dyDescent="0.2">
      <c r="A66" s="925" t="s">
        <v>347</v>
      </c>
      <c r="B66" s="920"/>
      <c r="C66" s="920"/>
      <c r="D66" s="920"/>
      <c r="E66" s="920"/>
      <c r="F66" s="920"/>
      <c r="G66" s="926"/>
      <c r="H66" s="523">
        <f>SUM(H63:H65)</f>
        <v>0</v>
      </c>
    </row>
    <row r="67" spans="1:8" ht="12" customHeight="1" x14ac:dyDescent="0.2"/>
    <row r="68" spans="1:8" ht="12" customHeight="1" x14ac:dyDescent="0.2"/>
    <row r="69" spans="1:8" ht="12" customHeight="1" x14ac:dyDescent="0.2"/>
    <row r="70" spans="1:8" ht="12" customHeight="1" x14ac:dyDescent="0.2"/>
    <row r="71" spans="1:8" ht="12" customHeight="1" x14ac:dyDescent="0.2"/>
    <row r="72" spans="1:8" ht="12" customHeight="1" x14ac:dyDescent="0.2"/>
    <row r="73" spans="1:8" ht="12" customHeight="1" x14ac:dyDescent="0.2"/>
    <row r="74" spans="1:8" ht="12" customHeight="1" x14ac:dyDescent="0.2"/>
    <row r="75" spans="1:8" ht="12" customHeight="1" x14ac:dyDescent="0.2"/>
    <row r="76" spans="1:8" ht="12" customHeight="1" x14ac:dyDescent="0.2"/>
    <row r="77" spans="1:8" ht="12" customHeight="1" x14ac:dyDescent="0.2"/>
    <row r="78" spans="1:8" ht="12" customHeight="1" x14ac:dyDescent="0.2"/>
    <row r="79" spans="1:8" ht="12" customHeight="1" x14ac:dyDescent="0.2"/>
    <row r="80" spans="1:8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8" customHeight="1" x14ac:dyDescent="0.2"/>
  </sheetData>
  <mergeCells count="83">
    <mergeCell ref="B65:C65"/>
    <mergeCell ref="A66:G66"/>
    <mergeCell ref="B12:F12"/>
    <mergeCell ref="B11:F11"/>
    <mergeCell ref="B38:F38"/>
    <mergeCell ref="B37:F37"/>
    <mergeCell ref="A59:H59"/>
    <mergeCell ref="A60:H60"/>
    <mergeCell ref="A61:C61"/>
    <mergeCell ref="A62:C62"/>
    <mergeCell ref="B63:C63"/>
    <mergeCell ref="B64:C64"/>
    <mergeCell ref="A31:H31"/>
    <mergeCell ref="A22:H22"/>
    <mergeCell ref="G18:H18"/>
    <mergeCell ref="B24:F24"/>
    <mergeCell ref="A1:H1"/>
    <mergeCell ref="A2:H2"/>
    <mergeCell ref="B10:C10"/>
    <mergeCell ref="A6:C6"/>
    <mergeCell ref="A7:C7"/>
    <mergeCell ref="B8:C8"/>
    <mergeCell ref="B9:C9"/>
    <mergeCell ref="A5:H5"/>
    <mergeCell ref="A4:H4"/>
    <mergeCell ref="A15:H15"/>
    <mergeCell ref="G16:H16"/>
    <mergeCell ref="B27:F27"/>
    <mergeCell ref="A13:H13"/>
    <mergeCell ref="A21:H21"/>
    <mergeCell ref="B16:D16"/>
    <mergeCell ref="B17:D17"/>
    <mergeCell ref="B18:D18"/>
    <mergeCell ref="B19:D19"/>
    <mergeCell ref="A14:H14"/>
    <mergeCell ref="G24:H24"/>
    <mergeCell ref="B25:F25"/>
    <mergeCell ref="B26:F26"/>
    <mergeCell ref="A20:E20"/>
    <mergeCell ref="G17:H17"/>
    <mergeCell ref="G29:H29"/>
    <mergeCell ref="B29:F29"/>
    <mergeCell ref="B28:F28"/>
    <mergeCell ref="G25:H25"/>
    <mergeCell ref="G26:H26"/>
    <mergeCell ref="B54:F54"/>
    <mergeCell ref="G54:H54"/>
    <mergeCell ref="B52:F52"/>
    <mergeCell ref="G52:H52"/>
    <mergeCell ref="B53:F53"/>
    <mergeCell ref="B55:F55"/>
    <mergeCell ref="G55:H55"/>
    <mergeCell ref="A30:H30"/>
    <mergeCell ref="G19:H19"/>
    <mergeCell ref="G20:H20"/>
    <mergeCell ref="G27:H27"/>
    <mergeCell ref="G28:H28"/>
    <mergeCell ref="A23:H23"/>
    <mergeCell ref="B51:F51"/>
    <mergeCell ref="G51:H51"/>
    <mergeCell ref="G53:H53"/>
    <mergeCell ref="A46:E46"/>
    <mergeCell ref="G46:H46"/>
    <mergeCell ref="A47:H47"/>
    <mergeCell ref="A48:H48"/>
    <mergeCell ref="A49:H49"/>
    <mergeCell ref="B50:F50"/>
    <mergeCell ref="G50:H50"/>
    <mergeCell ref="B43:D43"/>
    <mergeCell ref="G43:H43"/>
    <mergeCell ref="B44:D44"/>
    <mergeCell ref="G44:H44"/>
    <mergeCell ref="B45:D45"/>
    <mergeCell ref="G45:H45"/>
    <mergeCell ref="A40:H40"/>
    <mergeCell ref="A41:H41"/>
    <mergeCell ref="B42:D42"/>
    <mergeCell ref="G42:H42"/>
    <mergeCell ref="A32:C32"/>
    <mergeCell ref="A33:C33"/>
    <mergeCell ref="B34:C34"/>
    <mergeCell ref="B35:C35"/>
    <mergeCell ref="B36:C36"/>
  </mergeCells>
  <printOptions horizontalCentered="1"/>
  <pageMargins left="0.43307086614173229" right="0.39370078740157483" top="2.31" bottom="0.35433070866141736" header="0.23622047244094491" footer="0.27559055118110237"/>
  <pageSetup paperSize="9" scale="79" fitToHeight="0" orientation="portrait" r:id="rId1"/>
  <headerFooter>
    <oddHeader>&amp;L&amp;"Cambria,Negrito"&amp;8PROPOSTA N° 011/2017 - MME</oddHeader>
  </headerFooter>
  <ignoredErrors>
    <ignoredError sqref="G8:G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FFFF99"/>
    <pageSetUpPr fitToPage="1"/>
  </sheetPr>
  <dimension ref="A1:I69"/>
  <sheetViews>
    <sheetView view="pageBreakPreview" zoomScale="120" zoomScaleNormal="100" zoomScaleSheetLayoutView="120" workbookViewId="0">
      <selection activeCell="F32" sqref="F32"/>
    </sheetView>
  </sheetViews>
  <sheetFormatPr defaultRowHeight="14.25" x14ac:dyDescent="0.2"/>
  <cols>
    <col min="1" max="1" width="8.140625" style="42" customWidth="1"/>
    <col min="2" max="2" width="12.7109375" style="42" customWidth="1"/>
    <col min="3" max="3" width="7.140625" style="42" customWidth="1"/>
    <col min="4" max="4" width="17.42578125" style="42" customWidth="1"/>
    <col min="5" max="5" width="18.85546875" style="42" customWidth="1"/>
    <col min="6" max="6" width="16.5703125" style="42" customWidth="1"/>
    <col min="7" max="7" width="14.28515625" style="42" customWidth="1"/>
    <col min="8" max="8" width="11.85546875" style="42" customWidth="1"/>
    <col min="9" max="9" width="11.5703125" style="42" customWidth="1"/>
    <col min="10" max="10" width="9.140625" style="42" customWidth="1"/>
    <col min="11" max="16384" width="9.140625" style="42"/>
  </cols>
  <sheetData>
    <row r="1" spans="1:9" s="41" customFormat="1" ht="14.25" customHeight="1" x14ac:dyDescent="0.2">
      <c r="A1" s="927" t="str">
        <f>DADOS!A16</f>
        <v>MINISTÉRIO DE MINAS E ENERGIA - MME</v>
      </c>
      <c r="B1" s="927"/>
      <c r="C1" s="927"/>
      <c r="D1" s="927"/>
      <c r="E1" s="927"/>
      <c r="F1" s="927"/>
      <c r="G1" s="927"/>
      <c r="H1" s="927"/>
      <c r="I1" s="927"/>
    </row>
    <row r="2" spans="1:9" s="41" customFormat="1" ht="14.25" customHeight="1" x14ac:dyDescent="0.2">
      <c r="A2" s="927" t="str">
        <f>DADOS!A18</f>
        <v>PREGÃO ELETRÔNICO Nº 001/2017 - MME</v>
      </c>
      <c r="B2" s="927"/>
      <c r="C2" s="927"/>
      <c r="D2" s="927"/>
      <c r="E2" s="927"/>
      <c r="F2" s="927"/>
      <c r="G2" s="927"/>
      <c r="H2" s="927"/>
      <c r="I2" s="927"/>
    </row>
    <row r="3" spans="1:9" s="41" customFormat="1" ht="14.2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</row>
    <row r="4" spans="1:9" s="41" customFormat="1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</row>
    <row r="5" spans="1:9" s="41" customFormat="1" ht="14.25" customHeight="1" x14ac:dyDescent="0.2">
      <c r="A5" s="927" t="s">
        <v>165</v>
      </c>
      <c r="B5" s="927"/>
      <c r="C5" s="927"/>
      <c r="D5" s="927"/>
      <c r="E5" s="927"/>
      <c r="F5" s="927"/>
      <c r="G5" s="927"/>
      <c r="H5" s="927"/>
      <c r="I5" s="927"/>
    </row>
    <row r="6" spans="1:9" s="41" customFormat="1" ht="14.25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</row>
    <row r="7" spans="1:9" s="41" customFormat="1" ht="14.25" customHeight="1" x14ac:dyDescent="0.2">
      <c r="A7" s="103" t="s">
        <v>163</v>
      </c>
      <c r="B7" s="102"/>
      <c r="C7" s="102" t="s">
        <v>368</v>
      </c>
      <c r="D7" s="102"/>
      <c r="E7" s="102"/>
      <c r="F7" s="102"/>
      <c r="G7" s="102"/>
      <c r="H7" s="102"/>
      <c r="I7" s="102"/>
    </row>
    <row r="8" spans="1:9" s="41" customFormat="1" ht="10.5" customHeight="1" x14ac:dyDescent="0.2">
      <c r="A8" s="103"/>
      <c r="B8" s="102"/>
      <c r="C8" s="102"/>
      <c r="D8" s="102"/>
      <c r="E8" s="102"/>
      <c r="F8" s="102"/>
      <c r="G8" s="102"/>
      <c r="H8" s="102"/>
      <c r="I8" s="102"/>
    </row>
    <row r="9" spans="1:9" s="41" customFormat="1" x14ac:dyDescent="0.2">
      <c r="A9" s="104" t="s">
        <v>187</v>
      </c>
      <c r="B9" s="102"/>
      <c r="C9" s="102"/>
      <c r="D9" s="102"/>
      <c r="E9" s="102"/>
      <c r="F9" s="102"/>
      <c r="G9" s="102"/>
      <c r="H9" s="102"/>
      <c r="I9" s="102"/>
    </row>
    <row r="10" spans="1:9" s="41" customFormat="1" ht="14.25" customHeight="1" x14ac:dyDescent="0.2">
      <c r="A10" s="929" t="s">
        <v>413</v>
      </c>
      <c r="B10" s="929"/>
      <c r="C10" s="929"/>
      <c r="D10" s="929"/>
      <c r="E10" s="929"/>
      <c r="F10" s="929"/>
      <c r="G10" s="929"/>
      <c r="H10" s="929"/>
      <c r="I10" s="929"/>
    </row>
    <row r="11" spans="1:9" s="41" customFormat="1" ht="14.25" customHeight="1" x14ac:dyDescent="0.2">
      <c r="A11" s="929"/>
      <c r="B11" s="929"/>
      <c r="C11" s="929"/>
      <c r="D11" s="929"/>
      <c r="E11" s="929"/>
      <c r="F11" s="929"/>
      <c r="G11" s="929"/>
      <c r="H11" s="929"/>
      <c r="I11" s="929"/>
    </row>
    <row r="12" spans="1:9" s="41" customFormat="1" ht="8.25" customHeight="1" x14ac:dyDescent="0.2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9" s="41" customFormat="1" ht="14.25" customHeight="1" x14ac:dyDescent="0.2">
      <c r="A13" s="929" t="s">
        <v>414</v>
      </c>
      <c r="B13" s="929"/>
      <c r="C13" s="929"/>
      <c r="D13" s="929"/>
      <c r="E13" s="929"/>
      <c r="F13" s="929"/>
      <c r="G13" s="929"/>
      <c r="H13" s="929"/>
      <c r="I13" s="929"/>
    </row>
    <row r="14" spans="1:9" s="41" customFormat="1" ht="14.25" customHeight="1" x14ac:dyDescent="0.2">
      <c r="A14" s="929"/>
      <c r="B14" s="929"/>
      <c r="C14" s="929"/>
      <c r="D14" s="929"/>
      <c r="E14" s="929"/>
      <c r="F14" s="929"/>
      <c r="G14" s="929"/>
      <c r="H14" s="929"/>
      <c r="I14" s="929"/>
    </row>
    <row r="15" spans="1:9" s="41" customFormat="1" ht="14.25" customHeight="1" x14ac:dyDescent="0.2">
      <c r="A15" s="105"/>
      <c r="B15" s="105"/>
      <c r="C15" s="105"/>
      <c r="D15" s="105"/>
      <c r="E15" s="105"/>
      <c r="F15" s="105"/>
      <c r="G15" s="105"/>
      <c r="H15" s="105"/>
      <c r="I15" s="105"/>
    </row>
    <row r="16" spans="1:9" s="41" customFormat="1" ht="14.25" customHeight="1" x14ac:dyDescent="0.2">
      <c r="A16" s="106" t="s">
        <v>316</v>
      </c>
      <c r="B16" s="105"/>
      <c r="C16" s="105"/>
      <c r="D16" s="105"/>
      <c r="E16" s="105"/>
      <c r="F16" s="105"/>
      <c r="G16" s="105"/>
      <c r="H16" s="105"/>
      <c r="I16" s="105"/>
    </row>
    <row r="17" spans="1:9" s="41" customFormat="1" ht="14.2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</row>
    <row r="18" spans="1:9" s="41" customFormat="1" ht="14.25" customHeight="1" x14ac:dyDescent="0.2">
      <c r="A18" s="928" t="s">
        <v>379</v>
      </c>
      <c r="B18" s="928"/>
      <c r="C18" s="928"/>
      <c r="D18" s="928"/>
      <c r="E18" s="928"/>
      <c r="F18" s="928"/>
      <c r="G18" s="928"/>
      <c r="H18" s="928"/>
      <c r="I18" s="928"/>
    </row>
    <row r="19" spans="1:9" s="41" customFormat="1" ht="4.5" customHeight="1" x14ac:dyDescent="0.2">
      <c r="A19" s="107"/>
      <c r="B19" s="107"/>
      <c r="C19" s="107"/>
      <c r="D19" s="107"/>
      <c r="E19" s="107"/>
      <c r="F19" s="107"/>
      <c r="G19" s="107"/>
      <c r="H19" s="107"/>
      <c r="I19" s="107"/>
    </row>
    <row r="20" spans="1:9" x14ac:dyDescent="0.2">
      <c r="A20" s="108"/>
      <c r="B20" s="109"/>
      <c r="C20" s="110" t="s">
        <v>214</v>
      </c>
      <c r="D20" s="111"/>
      <c r="E20" s="112"/>
      <c r="F20" s="112"/>
      <c r="G20" s="112"/>
      <c r="H20" s="112"/>
      <c r="I20" s="113"/>
    </row>
    <row r="21" spans="1:9" x14ac:dyDescent="0.2">
      <c r="A21" s="114"/>
      <c r="B21" s="109"/>
      <c r="C21" s="110" t="s">
        <v>215</v>
      </c>
      <c r="D21" s="111"/>
      <c r="E21" s="112"/>
      <c r="F21" s="112"/>
      <c r="G21" s="112"/>
      <c r="H21" s="112"/>
      <c r="I21" s="113"/>
    </row>
    <row r="22" spans="1:9" x14ac:dyDescent="0.2">
      <c r="A22" s="114"/>
      <c r="B22" s="109"/>
      <c r="C22" s="110" t="s">
        <v>216</v>
      </c>
      <c r="D22" s="111"/>
      <c r="E22" s="112"/>
      <c r="F22" s="112"/>
      <c r="G22" s="112"/>
      <c r="H22" s="112"/>
      <c r="I22" s="113"/>
    </row>
    <row r="23" spans="1:9" x14ac:dyDescent="0.2">
      <c r="A23" s="113"/>
      <c r="B23" s="109"/>
      <c r="C23" s="110" t="s">
        <v>217</v>
      </c>
      <c r="D23" s="111"/>
      <c r="E23" s="112"/>
      <c r="F23" s="112"/>
      <c r="G23" s="112"/>
      <c r="H23" s="112"/>
      <c r="I23" s="113"/>
    </row>
    <row r="24" spans="1:9" x14ac:dyDescent="0.2">
      <c r="A24" s="113"/>
      <c r="B24" s="109"/>
      <c r="C24" s="110" t="s">
        <v>218</v>
      </c>
      <c r="D24" s="111"/>
      <c r="E24" s="112"/>
      <c r="F24" s="112"/>
      <c r="G24" s="112"/>
      <c r="H24" s="112"/>
      <c r="I24" s="113"/>
    </row>
    <row r="25" spans="1:9" x14ac:dyDescent="0.2">
      <c r="A25" s="113"/>
      <c r="B25" s="109"/>
      <c r="C25" s="110" t="s">
        <v>219</v>
      </c>
      <c r="D25" s="111"/>
      <c r="E25" s="112"/>
      <c r="F25" s="112"/>
      <c r="G25" s="112"/>
      <c r="H25" s="112"/>
      <c r="I25" s="113"/>
    </row>
    <row r="26" spans="1:9" x14ac:dyDescent="0.2">
      <c r="A26" s="113"/>
      <c r="B26" s="109"/>
      <c r="C26" s="110" t="s">
        <v>220</v>
      </c>
      <c r="D26" s="111"/>
      <c r="E26" s="112"/>
      <c r="F26" s="112"/>
      <c r="G26" s="112"/>
      <c r="H26" s="112"/>
      <c r="I26" s="113"/>
    </row>
    <row r="27" spans="1:9" x14ac:dyDescent="0.2">
      <c r="A27" s="113"/>
      <c r="B27" s="109"/>
      <c r="C27" s="110" t="s">
        <v>221</v>
      </c>
      <c r="D27" s="111"/>
      <c r="E27" s="112"/>
      <c r="F27" s="112"/>
      <c r="G27" s="112"/>
      <c r="H27" s="112"/>
      <c r="I27" s="113"/>
    </row>
    <row r="28" spans="1:9" x14ac:dyDescent="0.2">
      <c r="A28" s="113"/>
      <c r="B28" s="113"/>
      <c r="C28" s="110" t="s">
        <v>385</v>
      </c>
      <c r="D28" s="113"/>
      <c r="E28" s="113"/>
      <c r="F28" s="113"/>
      <c r="G28" s="113"/>
      <c r="H28" s="113"/>
      <c r="I28" s="113"/>
    </row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8" customHeight="1" x14ac:dyDescent="0.2"/>
  </sheetData>
  <mergeCells count="6">
    <mergeCell ref="A1:I1"/>
    <mergeCell ref="A2:I2"/>
    <mergeCell ref="A18:I18"/>
    <mergeCell ref="A5:I5"/>
    <mergeCell ref="A10:I11"/>
    <mergeCell ref="A13:I14"/>
  </mergeCells>
  <printOptions horizontalCentered="1"/>
  <pageMargins left="0.43307086614173229" right="0.35433070866141736" top="2.1653543307086616" bottom="0.35433070866141736" header="0.23622047244094491" footer="0.27559055118110237"/>
  <pageSetup paperSize="9" scale="82" fitToHeight="0" orientation="portrait" r:id="rId1"/>
  <headerFooter>
    <oddHeader>&amp;L&amp;"Cambria,Negrito"&amp;8PROPOSTA N° 011/2017 - MME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DADOS</vt:lpstr>
      <vt:lpstr>PROPOSTA INICIAL</vt:lpstr>
      <vt:lpstr>SUPERVISOR - DIURNO - 44h</vt:lpstr>
      <vt:lpstr>VIGILANTE - DIURNO 12x36 DD</vt:lpstr>
      <vt:lpstr>VIGILANTE - NOTURNO 12x36 ND</vt:lpstr>
      <vt:lpstr>UNIFORMES</vt:lpstr>
      <vt:lpstr>MAT e EQUIPS</vt:lpstr>
      <vt:lpstr>RESUMO</vt:lpstr>
      <vt:lpstr>SÚMULA 444</vt:lpstr>
      <vt:lpstr>DADOS!Area_de_impressao</vt:lpstr>
      <vt:lpstr>'MAT e EQUIPS'!Area_de_impressao</vt:lpstr>
      <vt:lpstr>'PROPOSTA INICIAL'!Area_de_impressao</vt:lpstr>
      <vt:lpstr>RESUMO!Area_de_impressao</vt:lpstr>
      <vt:lpstr>'SÚMULA 444'!Area_de_impressao</vt:lpstr>
      <vt:lpstr>'SUPERVISOR - DIURNO - 44h'!Area_de_impressao</vt:lpstr>
      <vt:lpstr>UNIFORMES!Area_de_impressao</vt:lpstr>
      <vt:lpstr>'VIGILANTE - DIURNO 12x36 DD'!Area_de_impressao</vt:lpstr>
      <vt:lpstr>'VIGILANTE - NOTURNO 12x36 ND'!Area_de_impressao</vt:lpstr>
    </vt:vector>
  </TitlesOfParts>
  <Company>Dep Nac Prod Mineral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Ednaldo Rodrigues da Cunha</dc:creator>
  <cp:lastModifiedBy>Cleusa Costa de Jesus</cp:lastModifiedBy>
  <cp:lastPrinted>2017-03-15T19:43:48Z</cp:lastPrinted>
  <dcterms:created xsi:type="dcterms:W3CDTF">2003-01-09T15:21:37Z</dcterms:created>
  <dcterms:modified xsi:type="dcterms:W3CDTF">2020-03-26T13:30:01Z</dcterms:modified>
</cp:coreProperties>
</file>