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GCC\CAC\DOCUMENTOS DO SETOR DE CONTRATOS\A - DOCS ESCANEADOS\REAL JG SERVIÇOS GERAIS LTDA\REAL JG - CONTRATO Nº 16-2016 - COPEIRAGEM\"/>
    </mc:Choice>
  </mc:AlternateContent>
  <bookViews>
    <workbookView xWindow="0" yWindow="0" windowWidth="15360" windowHeight="7020" tabRatio="904" activeTab="1"/>
  </bookViews>
  <sheets>
    <sheet name="AFERIÇÃO CAC" sheetId="31" r:id="rId1"/>
    <sheet name="ENCARREGADO" sheetId="29" r:id="rId2"/>
    <sheet name="GARÇOM" sheetId="34" r:id="rId3"/>
    <sheet name="GARÇONETE" sheetId="33" r:id="rId4"/>
    <sheet name="COPEIRA" sheetId="35" r:id="rId5"/>
    <sheet name="AUX. OP. SERVIÇOS GERAIS" sheetId="30" r:id="rId6"/>
    <sheet name="MATERIAL" sheetId="36" r:id="rId7"/>
    <sheet name="UNIFORMES" sheetId="19" r:id="rId8"/>
    <sheet name="TREINAMENTO" sheetId="27" r:id="rId9"/>
    <sheet name="Quadro do 1º Apostilamento" sheetId="38" r:id="rId10"/>
    <sheet name="Encargos Sociais" sheetId="37" state="hidden" r:id="rId11"/>
  </sheets>
  <definedNames>
    <definedName name="_xlnm.Print_Area" localSheetId="0">'AFERIÇÃO CAC'!$A$1:$J$37</definedName>
    <definedName name="_xlnm.Print_Area" localSheetId="5">'AUX. OP. SERVIÇOS GERAIS'!$A$1:$H$136</definedName>
    <definedName name="_xlnm.Print_Area" localSheetId="4">COPEIRA!$A$1:$H$136</definedName>
    <definedName name="_xlnm.Print_Area" localSheetId="10">'Encargos Sociais'!$A$1:$E$43</definedName>
    <definedName name="_xlnm.Print_Area" localSheetId="1">ENCARREGADO!$A$1:$H$136</definedName>
    <definedName name="_xlnm.Print_Area" localSheetId="2">GARÇOM!$A$1:$H$136</definedName>
    <definedName name="_xlnm.Print_Area" localSheetId="3">GARÇONETE!$A$1:$H$136</definedName>
    <definedName name="_xlnm.Print_Area" localSheetId="6">MATERIAL!$A$1:$I$58</definedName>
    <definedName name="_xlnm.Print_Area" localSheetId="8">TREINAMENTO!$A$1:$J$22</definedName>
    <definedName name="_xlnm.Print_Area" localSheetId="7">UNIFORMES!$A$1:$G$43</definedName>
  </definedNames>
  <calcPr calcId="162913"/>
</workbook>
</file>

<file path=xl/calcChain.xml><?xml version="1.0" encoding="utf-8"?>
<calcChain xmlns="http://schemas.openxmlformats.org/spreadsheetml/2006/main">
  <c r="D98" i="29" l="1"/>
  <c r="E84" i="29"/>
  <c r="F85" i="30"/>
  <c r="F82" i="30"/>
  <c r="F85" i="35"/>
  <c r="F82" i="35"/>
  <c r="F85" i="33"/>
  <c r="F82" i="33"/>
  <c r="F85" i="34"/>
  <c r="F82" i="34"/>
  <c r="F85" i="29"/>
  <c r="F82" i="29"/>
  <c r="G86" i="33" l="1"/>
  <c r="G85" i="33"/>
  <c r="F86" i="33"/>
  <c r="F83" i="29"/>
  <c r="E20" i="38" l="1"/>
  <c r="C20" i="38"/>
  <c r="E23" i="38"/>
  <c r="F23" i="38"/>
  <c r="C23" i="38"/>
  <c r="D23" i="38"/>
  <c r="C24" i="38"/>
  <c r="D24" i="38"/>
  <c r="D22" i="38"/>
  <c r="C22" i="38"/>
  <c r="A11" i="38"/>
  <c r="B11" i="38"/>
  <c r="C11" i="38"/>
  <c r="D11" i="38"/>
  <c r="D16" i="38" s="1"/>
  <c r="A12" i="38"/>
  <c r="B12" i="38"/>
  <c r="C12" i="38"/>
  <c r="D12" i="38"/>
  <c r="A13" i="38"/>
  <c r="B13" i="38"/>
  <c r="C13" i="38"/>
  <c r="D13" i="38"/>
  <c r="A14" i="38"/>
  <c r="B14" i="38"/>
  <c r="C14" i="38"/>
  <c r="D14" i="38"/>
  <c r="A15" i="38"/>
  <c r="B15" i="38"/>
  <c r="C15" i="38"/>
  <c r="D15" i="38"/>
  <c r="B9" i="38"/>
  <c r="C10" i="38"/>
  <c r="D10" i="38"/>
  <c r="A9" i="38"/>
  <c r="I17" i="31"/>
  <c r="D36" i="31"/>
  <c r="I3" i="36"/>
  <c r="I4" i="36"/>
  <c r="I5" i="36"/>
  <c r="I6" i="36"/>
  <c r="G58" i="36" s="1"/>
  <c r="I7" i="36"/>
  <c r="I8" i="36"/>
  <c r="I9" i="36"/>
  <c r="I10" i="36"/>
  <c r="I11" i="36"/>
  <c r="I12" i="36"/>
  <c r="I13" i="36"/>
  <c r="I14" i="36"/>
  <c r="I15" i="36"/>
  <c r="I16" i="36"/>
  <c r="I17" i="36"/>
  <c r="I18" i="36"/>
  <c r="I19" i="36"/>
  <c r="I20" i="36"/>
  <c r="I21" i="36"/>
  <c r="I22" i="36"/>
  <c r="I23" i="36"/>
  <c r="I24" i="36"/>
  <c r="I25" i="36"/>
  <c r="I26" i="36"/>
  <c r="I27" i="36"/>
  <c r="I28" i="36"/>
  <c r="I29" i="36"/>
  <c r="I30" i="36"/>
  <c r="I31" i="36"/>
  <c r="I32" i="36"/>
  <c r="I33" i="36"/>
  <c r="I34" i="36"/>
  <c r="I35" i="36"/>
  <c r="I36" i="36"/>
  <c r="I37" i="36"/>
  <c r="I38" i="36"/>
  <c r="I39" i="36"/>
  <c r="I40" i="36"/>
  <c r="I41" i="36"/>
  <c r="I42" i="36"/>
  <c r="I43" i="36"/>
  <c r="I44" i="36"/>
  <c r="I45" i="36"/>
  <c r="I46" i="36"/>
  <c r="I47" i="36"/>
  <c r="I48" i="36"/>
  <c r="I49" i="36"/>
  <c r="I50" i="36"/>
  <c r="I51" i="36"/>
  <c r="I52" i="36"/>
  <c r="I53" i="36"/>
  <c r="I54" i="36"/>
  <c r="I55" i="36"/>
  <c r="I56" i="36"/>
  <c r="H24" i="31"/>
  <c r="D17" i="31"/>
  <c r="H4" i="36"/>
  <c r="H5" i="36"/>
  <c r="H6" i="36"/>
  <c r="H7" i="36"/>
  <c r="H8" i="36"/>
  <c r="H9" i="36"/>
  <c r="H10" i="36"/>
  <c r="H11" i="36"/>
  <c r="H12" i="36"/>
  <c r="H13" i="36"/>
  <c r="H14" i="36"/>
  <c r="H15" i="36"/>
  <c r="H16" i="36"/>
  <c r="H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H52" i="36"/>
  <c r="H53" i="36"/>
  <c r="H54" i="36"/>
  <c r="H55" i="36"/>
  <c r="H56" i="36"/>
  <c r="H3" i="36"/>
  <c r="G98" i="30"/>
  <c r="G73" i="30"/>
  <c r="G126" i="35"/>
  <c r="G70" i="35"/>
  <c r="G98" i="35"/>
  <c r="G91" i="35"/>
  <c r="G87" i="35"/>
  <c r="G84" i="35"/>
  <c r="G78" i="35"/>
  <c r="G73" i="35"/>
  <c r="G56" i="35"/>
  <c r="G98" i="33"/>
  <c r="G91" i="33"/>
  <c r="G87" i="33"/>
  <c r="G82" i="33"/>
  <c r="G79" i="33"/>
  <c r="G78" i="33"/>
  <c r="G73" i="33"/>
  <c r="G72" i="33"/>
  <c r="G56" i="33"/>
  <c r="F130" i="34"/>
  <c r="G98" i="34"/>
  <c r="G87" i="34"/>
  <c r="G77" i="34"/>
  <c r="G73" i="34"/>
  <c r="G72" i="34"/>
  <c r="G70" i="34"/>
  <c r="G64" i="34"/>
  <c r="G56" i="34"/>
  <c r="F130" i="29"/>
  <c r="G126" i="29"/>
  <c r="G99" i="29"/>
  <c r="G98" i="29"/>
  <c r="G97" i="29"/>
  <c r="G85" i="29"/>
  <c r="G84" i="29"/>
  <c r="G83" i="29"/>
  <c r="G77" i="29"/>
  <c r="G73" i="29"/>
  <c r="G72" i="29"/>
  <c r="D17" i="38" l="1"/>
  <c r="G57" i="36"/>
  <c r="F106" i="30"/>
  <c r="G92" i="30"/>
  <c r="G93" i="30"/>
  <c r="G94" i="30"/>
  <c r="G95" i="30"/>
  <c r="G91" i="30"/>
  <c r="G87" i="30"/>
  <c r="G85" i="30"/>
  <c r="G84" i="30"/>
  <c r="G82" i="30"/>
  <c r="G71" i="30"/>
  <c r="G70" i="30"/>
  <c r="G57" i="30"/>
  <c r="G58" i="30"/>
  <c r="G59" i="30"/>
  <c r="G60" i="30"/>
  <c r="G61" i="30"/>
  <c r="G62" i="30"/>
  <c r="G63" i="30"/>
  <c r="G56" i="30"/>
  <c r="G85" i="35"/>
  <c r="G92" i="35"/>
  <c r="G93" i="35"/>
  <c r="G94" i="35"/>
  <c r="G95" i="35"/>
  <c r="G82" i="35"/>
  <c r="G77" i="35"/>
  <c r="G71" i="35"/>
  <c r="G62" i="35"/>
  <c r="G63" i="35"/>
  <c r="G60" i="35"/>
  <c r="G61" i="35"/>
  <c r="G58" i="35"/>
  <c r="G59" i="35"/>
  <c r="G57" i="35"/>
  <c r="G95" i="33"/>
  <c r="G94" i="33"/>
  <c r="G93" i="33"/>
  <c r="G92" i="33"/>
  <c r="G84" i="33"/>
  <c r="G77" i="33"/>
  <c r="G92" i="34"/>
  <c r="G93" i="34"/>
  <c r="G94" i="34"/>
  <c r="G95" i="34"/>
  <c r="G91" i="34"/>
  <c r="G71" i="33"/>
  <c r="G70" i="33"/>
  <c r="G57" i="33"/>
  <c r="G58" i="33"/>
  <c r="G59" i="33"/>
  <c r="G60" i="33"/>
  <c r="G61" i="33"/>
  <c r="G62" i="33"/>
  <c r="G63" i="33"/>
  <c r="H17" i="31" l="1"/>
  <c r="E73" i="30"/>
  <c r="E71" i="30"/>
  <c r="E70" i="30"/>
  <c r="E73" i="35"/>
  <c r="E71" i="35"/>
  <c r="E70" i="35"/>
  <c r="E73" i="33"/>
  <c r="E71" i="33"/>
  <c r="E70" i="33"/>
  <c r="F37" i="30" l="1"/>
  <c r="F37" i="35"/>
  <c r="F37" i="33"/>
  <c r="F37" i="34"/>
  <c r="F37" i="29"/>
  <c r="F50" i="30" l="1"/>
  <c r="D50" i="30"/>
  <c r="D51" i="30" s="1"/>
  <c r="D132" i="30" s="1"/>
  <c r="F47" i="30"/>
  <c r="D47" i="30"/>
  <c r="G126" i="30"/>
  <c r="E126" i="30"/>
  <c r="F97" i="30"/>
  <c r="D97" i="30"/>
  <c r="D99" i="30" s="1"/>
  <c r="E93" i="30"/>
  <c r="E91" i="30"/>
  <c r="E85" i="30"/>
  <c r="E82" i="30"/>
  <c r="D78" i="30"/>
  <c r="D79" i="30" s="1"/>
  <c r="F72" i="30"/>
  <c r="D72" i="30"/>
  <c r="F64" i="30"/>
  <c r="F78" i="30" s="1"/>
  <c r="D64" i="30"/>
  <c r="D98" i="30" s="1"/>
  <c r="E98" i="30" s="1"/>
  <c r="E61" i="30"/>
  <c r="E57" i="30"/>
  <c r="D37" i="30"/>
  <c r="F33" i="30"/>
  <c r="D33" i="30"/>
  <c r="F25" i="30"/>
  <c r="D25" i="30"/>
  <c r="F21" i="30"/>
  <c r="D21" i="30"/>
  <c r="F19" i="30"/>
  <c r="D19" i="30"/>
  <c r="F50" i="35"/>
  <c r="D50" i="35"/>
  <c r="F47" i="35"/>
  <c r="D47" i="35"/>
  <c r="E126" i="35"/>
  <c r="F97" i="35"/>
  <c r="D97" i="35"/>
  <c r="D78" i="35"/>
  <c r="F72" i="35"/>
  <c r="D72" i="35"/>
  <c r="F64" i="35"/>
  <c r="F78" i="35" s="1"/>
  <c r="D64" i="35"/>
  <c r="D98" i="35" s="1"/>
  <c r="D37" i="35"/>
  <c r="D33" i="35"/>
  <c r="E93" i="35" s="1"/>
  <c r="F25" i="35"/>
  <c r="F33" i="35" s="1"/>
  <c r="F130" i="35" s="1"/>
  <c r="D25" i="35"/>
  <c r="F21" i="35"/>
  <c r="D21" i="35"/>
  <c r="F19" i="35"/>
  <c r="D19" i="35"/>
  <c r="F51" i="35" l="1"/>
  <c r="F132" i="35" s="1"/>
  <c r="D51" i="35"/>
  <c r="D132" i="35" s="1"/>
  <c r="F51" i="30"/>
  <c r="F132" i="30" s="1"/>
  <c r="F83" i="30"/>
  <c r="G83" i="30" s="1"/>
  <c r="F73" i="30"/>
  <c r="F74" i="30" s="1"/>
  <c r="F130" i="30"/>
  <c r="G77" i="30"/>
  <c r="F36" i="30"/>
  <c r="F43" i="30" s="1"/>
  <c r="F131" i="30" s="1"/>
  <c r="E97" i="30"/>
  <c r="E99" i="30" s="1"/>
  <c r="D108" i="30" s="1"/>
  <c r="G78" i="30"/>
  <c r="F79" i="30"/>
  <c r="E78" i="30"/>
  <c r="F98" i="30"/>
  <c r="D130" i="30"/>
  <c r="E94" i="30"/>
  <c r="E92" i="30"/>
  <c r="E87" i="30"/>
  <c r="E84" i="30"/>
  <c r="E77" i="30"/>
  <c r="E62" i="30"/>
  <c r="E60" i="30"/>
  <c r="E58" i="30"/>
  <c r="E56" i="30"/>
  <c r="D36" i="30"/>
  <c r="D43" i="30" s="1"/>
  <c r="D131" i="30" s="1"/>
  <c r="E59" i="30"/>
  <c r="E63" i="30"/>
  <c r="F86" i="30"/>
  <c r="G86" i="30" s="1"/>
  <c r="E95" i="30"/>
  <c r="D73" i="30"/>
  <c r="D83" i="30"/>
  <c r="D86" i="30"/>
  <c r="E86" i="30" s="1"/>
  <c r="E98" i="35"/>
  <c r="E78" i="35"/>
  <c r="F79" i="35"/>
  <c r="D99" i="35"/>
  <c r="F99" i="35"/>
  <c r="E57" i="35"/>
  <c r="E61" i="35"/>
  <c r="E63" i="35"/>
  <c r="F73" i="35"/>
  <c r="D79" i="35"/>
  <c r="F83" i="35"/>
  <c r="G83" i="35" s="1"/>
  <c r="F86" i="35"/>
  <c r="G86" i="35" s="1"/>
  <c r="E91" i="35"/>
  <c r="E95" i="35"/>
  <c r="F98" i="35"/>
  <c r="D36" i="35"/>
  <c r="D43" i="35" s="1"/>
  <c r="D131" i="35" s="1"/>
  <c r="E56" i="35"/>
  <c r="E58" i="35"/>
  <c r="E60" i="35"/>
  <c r="E62" i="35"/>
  <c r="D73" i="35"/>
  <c r="E77" i="35"/>
  <c r="D83" i="35"/>
  <c r="E84" i="35"/>
  <c r="D86" i="35"/>
  <c r="E86" i="35" s="1"/>
  <c r="E87" i="35"/>
  <c r="E92" i="35"/>
  <c r="E94" i="35"/>
  <c r="D130" i="35"/>
  <c r="E59" i="35"/>
  <c r="E82" i="35"/>
  <c r="E85" i="35"/>
  <c r="F36" i="35"/>
  <c r="F43" i="35" s="1"/>
  <c r="F131" i="35" s="1"/>
  <c r="G88" i="30" l="1"/>
  <c r="F107" i="30" s="1"/>
  <c r="G79" i="30"/>
  <c r="E72" i="30"/>
  <c r="D74" i="30"/>
  <c r="E64" i="30"/>
  <c r="D104" i="30" s="1"/>
  <c r="E79" i="30"/>
  <c r="D106" i="30" s="1"/>
  <c r="F88" i="30"/>
  <c r="G97" i="30"/>
  <c r="G99" i="30" s="1"/>
  <c r="F108" i="30" s="1"/>
  <c r="E83" i="30"/>
  <c r="E88" i="30" s="1"/>
  <c r="D107" i="30" s="1"/>
  <c r="D88" i="30"/>
  <c r="G64" i="30"/>
  <c r="F104" i="30" s="1"/>
  <c r="G72" i="30"/>
  <c r="G74" i="30" s="1"/>
  <c r="F105" i="30" s="1"/>
  <c r="F99" i="30"/>
  <c r="E72" i="35"/>
  <c r="G79" i="35"/>
  <c r="F106" i="35" s="1"/>
  <c r="E79" i="35"/>
  <c r="D106" i="35" s="1"/>
  <c r="G97" i="35"/>
  <c r="G99" i="35" s="1"/>
  <c r="F108" i="35" s="1"/>
  <c r="E74" i="35"/>
  <c r="D105" i="35" s="1"/>
  <c r="D74" i="35"/>
  <c r="F88" i="35"/>
  <c r="G72" i="35"/>
  <c r="G64" i="35"/>
  <c r="F104" i="35" s="1"/>
  <c r="E88" i="35"/>
  <c r="D107" i="35" s="1"/>
  <c r="E64" i="35"/>
  <c r="D104" i="35" s="1"/>
  <c r="G88" i="35"/>
  <c r="F107" i="35" s="1"/>
  <c r="E83" i="35"/>
  <c r="D88" i="35"/>
  <c r="E97" i="35"/>
  <c r="E99" i="35" s="1"/>
  <c r="D108" i="35" s="1"/>
  <c r="G74" i="35"/>
  <c r="F105" i="35" s="1"/>
  <c r="F74" i="35"/>
  <c r="D131" i="33"/>
  <c r="D130" i="33"/>
  <c r="G126" i="33"/>
  <c r="E126" i="33"/>
  <c r="F97" i="33"/>
  <c r="D97" i="33"/>
  <c r="F72" i="33"/>
  <c r="D72" i="33"/>
  <c r="F21" i="33"/>
  <c r="F19" i="33"/>
  <c r="F21" i="34"/>
  <c r="F19" i="34"/>
  <c r="F21" i="29"/>
  <c r="F19" i="29"/>
  <c r="E59" i="33"/>
  <c r="F64" i="33"/>
  <c r="D64" i="33"/>
  <c r="D83" i="33" s="1"/>
  <c r="F50" i="33"/>
  <c r="D50" i="33"/>
  <c r="F47" i="33"/>
  <c r="D47" i="33"/>
  <c r="D37" i="33"/>
  <c r="D36" i="33"/>
  <c r="D43" i="33" s="1"/>
  <c r="F25" i="33"/>
  <c r="F33" i="33" s="1"/>
  <c r="D25" i="33"/>
  <c r="D33" i="33" s="1"/>
  <c r="E87" i="33" s="1"/>
  <c r="D21" i="33"/>
  <c r="D19" i="33"/>
  <c r="F51" i="33" l="1"/>
  <c r="F132" i="33" s="1"/>
  <c r="E74" i="30"/>
  <c r="D105" i="30" s="1"/>
  <c r="D110" i="30" s="1"/>
  <c r="F130" i="33"/>
  <c r="F110" i="30"/>
  <c r="G116" i="30" s="1"/>
  <c r="G122" i="30" s="1"/>
  <c r="D110" i="35"/>
  <c r="F110" i="35"/>
  <c r="G116" i="35" s="1"/>
  <c r="G122" i="35" s="1"/>
  <c r="E94" i="33"/>
  <c r="D51" i="33"/>
  <c r="D132" i="33" s="1"/>
  <c r="F36" i="33"/>
  <c r="F43" i="33" s="1"/>
  <c r="F131" i="33" s="1"/>
  <c r="E58" i="33"/>
  <c r="F78" i="33"/>
  <c r="F83" i="33"/>
  <c r="G83" i="33" s="1"/>
  <c r="E63" i="33"/>
  <c r="E84" i="33"/>
  <c r="E92" i="33"/>
  <c r="D98" i="33"/>
  <c r="E98" i="33" s="1"/>
  <c r="E62" i="33"/>
  <c r="E82" i="33"/>
  <c r="E61" i="33"/>
  <c r="E91" i="33"/>
  <c r="E93" i="33"/>
  <c r="E95" i="33"/>
  <c r="D73" i="33"/>
  <c r="D86" i="33"/>
  <c r="E86" i="33" s="1"/>
  <c r="E57" i="33"/>
  <c r="F73" i="33"/>
  <c r="F74" i="33" s="1"/>
  <c r="E56" i="33"/>
  <c r="E60" i="33"/>
  <c r="E72" i="33"/>
  <c r="E85" i="33"/>
  <c r="D99" i="33"/>
  <c r="F98" i="33"/>
  <c r="E83" i="33"/>
  <c r="D78" i="33"/>
  <c r="E78" i="33" s="1"/>
  <c r="E77" i="33"/>
  <c r="D19" i="34"/>
  <c r="F47" i="34"/>
  <c r="D47" i="34"/>
  <c r="F88" i="33" l="1"/>
  <c r="F133" i="30"/>
  <c r="F134" i="30" s="1"/>
  <c r="G118" i="30" s="1"/>
  <c r="D133" i="30"/>
  <c r="D134" i="30" s="1"/>
  <c r="E116" i="30"/>
  <c r="F133" i="35"/>
  <c r="F134" i="35" s="1"/>
  <c r="G118" i="35" s="1"/>
  <c r="D133" i="35"/>
  <c r="D134" i="35" s="1"/>
  <c r="E116" i="35"/>
  <c r="E88" i="33"/>
  <c r="D107" i="33" s="1"/>
  <c r="E74" i="33"/>
  <c r="D105" i="33" s="1"/>
  <c r="G74" i="33"/>
  <c r="F105" i="33" s="1"/>
  <c r="G88" i="33"/>
  <c r="F107" i="33" s="1"/>
  <c r="D74" i="33"/>
  <c r="G64" i="33"/>
  <c r="F104" i="33" s="1"/>
  <c r="E64" i="33"/>
  <c r="D104" i="33" s="1"/>
  <c r="F79" i="33"/>
  <c r="F106" i="33"/>
  <c r="D88" i="33"/>
  <c r="G97" i="33"/>
  <c r="E97" i="33"/>
  <c r="E99" i="33" s="1"/>
  <c r="D108" i="33" s="1"/>
  <c r="D79" i="33"/>
  <c r="F99" i="33"/>
  <c r="E79" i="33"/>
  <c r="D106" i="33" s="1"/>
  <c r="G126" i="34"/>
  <c r="E126" i="34"/>
  <c r="F97" i="34"/>
  <c r="D97" i="34"/>
  <c r="D78" i="34"/>
  <c r="F72" i="34"/>
  <c r="D72" i="34"/>
  <c r="F64" i="34"/>
  <c r="D64" i="34"/>
  <c r="D98" i="34" s="1"/>
  <c r="D50" i="34"/>
  <c r="D51" i="34" s="1"/>
  <c r="D132" i="34" s="1"/>
  <c r="D37" i="34"/>
  <c r="F25" i="34"/>
  <c r="F33" i="34" s="1"/>
  <c r="D25" i="34"/>
  <c r="D33" i="34" s="1"/>
  <c r="D21" i="34"/>
  <c r="F47" i="29"/>
  <c r="F97" i="29"/>
  <c r="F72" i="29"/>
  <c r="F64" i="29"/>
  <c r="F98" i="29" s="1"/>
  <c r="F25" i="29"/>
  <c r="F33" i="29" s="1"/>
  <c r="G119" i="35" l="1"/>
  <c r="G99" i="33"/>
  <c r="F108" i="33" s="1"/>
  <c r="F110" i="33" s="1"/>
  <c r="G116" i="33" s="1"/>
  <c r="G122" i="33" s="1"/>
  <c r="G84" i="34"/>
  <c r="G63" i="34"/>
  <c r="G85" i="34"/>
  <c r="G71" i="34"/>
  <c r="G60" i="34"/>
  <c r="G57" i="34"/>
  <c r="G61" i="34"/>
  <c r="G82" i="34"/>
  <c r="G58" i="34"/>
  <c r="G62" i="34"/>
  <c r="G59" i="34"/>
  <c r="E98" i="34"/>
  <c r="E93" i="34"/>
  <c r="E83" i="34"/>
  <c r="E87" i="34"/>
  <c r="E70" i="34"/>
  <c r="E72" i="34" s="1"/>
  <c r="E60" i="34"/>
  <c r="E56" i="34"/>
  <c r="E91" i="34"/>
  <c r="E59" i="34"/>
  <c r="E94" i="34"/>
  <c r="E84" i="34"/>
  <c r="E82" i="34"/>
  <c r="E57" i="34"/>
  <c r="E61" i="34"/>
  <c r="E92" i="34"/>
  <c r="E71" i="34"/>
  <c r="E95" i="34"/>
  <c r="E85" i="34"/>
  <c r="E73" i="34"/>
  <c r="E58" i="34"/>
  <c r="E62" i="34"/>
  <c r="E86" i="34"/>
  <c r="E63" i="34"/>
  <c r="G95" i="29"/>
  <c r="G71" i="29"/>
  <c r="G59" i="29"/>
  <c r="G63" i="29"/>
  <c r="G57" i="29"/>
  <c r="G58" i="29"/>
  <c r="G62" i="29"/>
  <c r="G92" i="29"/>
  <c r="G91" i="29"/>
  <c r="G82" i="29"/>
  <c r="G70" i="29"/>
  <c r="G60" i="29"/>
  <c r="G56" i="29"/>
  <c r="G61" i="29"/>
  <c r="G94" i="29"/>
  <c r="G93" i="29"/>
  <c r="G87" i="29"/>
  <c r="F99" i="29"/>
  <c r="F73" i="29"/>
  <c r="F74" i="29" s="1"/>
  <c r="F36" i="29"/>
  <c r="F43" i="29" s="1"/>
  <c r="F131" i="29" s="1"/>
  <c r="G119" i="30"/>
  <c r="E122" i="30"/>
  <c r="E119" i="30" s="1"/>
  <c r="E122" i="35"/>
  <c r="E119" i="35" s="1"/>
  <c r="F98" i="34"/>
  <c r="D110" i="33"/>
  <c r="E78" i="34"/>
  <c r="D99" i="34"/>
  <c r="F99" i="34"/>
  <c r="D79" i="34"/>
  <c r="F83" i="34"/>
  <c r="G83" i="34" s="1"/>
  <c r="D36" i="34"/>
  <c r="D43" i="34" s="1"/>
  <c r="D131" i="34" s="1"/>
  <c r="D73" i="34"/>
  <c r="E77" i="34"/>
  <c r="E79" i="34" s="1"/>
  <c r="D106" i="34" s="1"/>
  <c r="F78" i="34"/>
  <c r="D83" i="34"/>
  <c r="D86" i="34"/>
  <c r="D130" i="34"/>
  <c r="F73" i="34"/>
  <c r="F86" i="34"/>
  <c r="G86" i="34" s="1"/>
  <c r="F36" i="34"/>
  <c r="F43" i="34" s="1"/>
  <c r="F131" i="34" s="1"/>
  <c r="F78" i="29"/>
  <c r="F86" i="29"/>
  <c r="G86" i="29" s="1"/>
  <c r="G88" i="29" l="1"/>
  <c r="F107" i="29" s="1"/>
  <c r="F133" i="33"/>
  <c r="F134" i="33" s="1"/>
  <c r="G97" i="34"/>
  <c r="G64" i="29"/>
  <c r="F104" i="29" s="1"/>
  <c r="G99" i="34"/>
  <c r="F108" i="34" s="1"/>
  <c r="G74" i="29"/>
  <c r="F108" i="29"/>
  <c r="E118" i="30"/>
  <c r="E123" i="30" s="1"/>
  <c r="D135" i="30" s="1"/>
  <c r="D136" i="30" s="1"/>
  <c r="D28" i="31" s="1"/>
  <c r="G123" i="30"/>
  <c r="F135" i="30" s="1"/>
  <c r="F136" i="30" s="1"/>
  <c r="I9" i="31" s="1"/>
  <c r="E118" i="35"/>
  <c r="E123" i="35" s="1"/>
  <c r="D135" i="35" s="1"/>
  <c r="D136" i="35" s="1"/>
  <c r="D27" i="31" s="1"/>
  <c r="G123" i="35"/>
  <c r="F135" i="35" s="1"/>
  <c r="F136" i="35" s="1"/>
  <c r="I8" i="31" s="1"/>
  <c r="E116" i="33"/>
  <c r="E122" i="33" s="1"/>
  <c r="D133" i="33"/>
  <c r="D134" i="33" s="1"/>
  <c r="F104" i="34"/>
  <c r="D88" i="34"/>
  <c r="E64" i="34"/>
  <c r="D104" i="34" s="1"/>
  <c r="E88" i="34"/>
  <c r="D107" i="34" s="1"/>
  <c r="G78" i="34"/>
  <c r="G79" i="34" s="1"/>
  <c r="F106" i="34" s="1"/>
  <c r="F79" i="34"/>
  <c r="E74" i="34"/>
  <c r="D105" i="34" s="1"/>
  <c r="D74" i="34"/>
  <c r="E97" i="34"/>
  <c r="E99" i="34" s="1"/>
  <c r="D108" i="34" s="1"/>
  <c r="F74" i="34"/>
  <c r="F88" i="34"/>
  <c r="G88" i="34"/>
  <c r="F107" i="34" s="1"/>
  <c r="F88" i="29"/>
  <c r="F79" i="29"/>
  <c r="G78" i="29"/>
  <c r="G79" i="29" s="1"/>
  <c r="F106" i="29" s="1"/>
  <c r="E126" i="29"/>
  <c r="E15" i="38" l="1"/>
  <c r="J9" i="31"/>
  <c r="F15" i="38" s="1"/>
  <c r="J8" i="31"/>
  <c r="F14" i="38" s="1"/>
  <c r="E14" i="38"/>
  <c r="G119" i="33"/>
  <c r="G118" i="33"/>
  <c r="F105" i="29"/>
  <c r="F110" i="29" s="1"/>
  <c r="G116" i="29" s="1"/>
  <c r="G122" i="29" s="1"/>
  <c r="E118" i="33"/>
  <c r="E119" i="33"/>
  <c r="G74" i="34"/>
  <c r="F105" i="34" s="1"/>
  <c r="F110" i="34" s="1"/>
  <c r="G116" i="34" s="1"/>
  <c r="G122" i="34" s="1"/>
  <c r="D110" i="34"/>
  <c r="E7" i="31"/>
  <c r="E6" i="31"/>
  <c r="E9" i="31"/>
  <c r="E8" i="31"/>
  <c r="E5" i="31"/>
  <c r="D37" i="29"/>
  <c r="D50" i="29"/>
  <c r="J16" i="27"/>
  <c r="I13" i="27"/>
  <c r="J13" i="27"/>
  <c r="I14" i="27"/>
  <c r="J14" i="27"/>
  <c r="I15" i="27"/>
  <c r="J15" i="27"/>
  <c r="I16" i="27"/>
  <c r="I12" i="27"/>
  <c r="J12" i="27" s="1"/>
  <c r="G42" i="19"/>
  <c r="G41" i="19"/>
  <c r="G40" i="19"/>
  <c r="G43" i="19"/>
  <c r="G39" i="19"/>
  <c r="G38" i="19"/>
  <c r="G35" i="19"/>
  <c r="G34" i="19"/>
  <c r="G33" i="19"/>
  <c r="G32" i="19"/>
  <c r="G31" i="19"/>
  <c r="G36" i="19"/>
  <c r="D47" i="29"/>
  <c r="G30" i="19"/>
  <c r="G27" i="19"/>
  <c r="G26" i="19"/>
  <c r="G25" i="19"/>
  <c r="G24" i="19"/>
  <c r="G23" i="19"/>
  <c r="G28" i="19"/>
  <c r="G22" i="19"/>
  <c r="G21" i="19"/>
  <c r="G18" i="19"/>
  <c r="G17" i="19"/>
  <c r="G16" i="19"/>
  <c r="G15" i="19"/>
  <c r="G14" i="19"/>
  <c r="G13" i="19"/>
  <c r="G12" i="19"/>
  <c r="G19" i="19"/>
  <c r="G9" i="19"/>
  <c r="G8" i="19"/>
  <c r="G7" i="19"/>
  <c r="G6" i="19"/>
  <c r="G5" i="19"/>
  <c r="G4" i="19"/>
  <c r="G3" i="19"/>
  <c r="G10" i="19"/>
  <c r="D72" i="29"/>
  <c r="C39" i="37"/>
  <c r="F37" i="37"/>
  <c r="F36" i="37"/>
  <c r="F35" i="37"/>
  <c r="F34" i="37"/>
  <c r="G34" i="37"/>
  <c r="F33" i="37"/>
  <c r="F28" i="37"/>
  <c r="I25" i="37"/>
  <c r="F25" i="37"/>
  <c r="E25" i="37"/>
  <c r="E26" i="37"/>
  <c r="E27" i="37"/>
  <c r="F21" i="37"/>
  <c r="C17" i="37"/>
  <c r="C12" i="37"/>
  <c r="C22" i="37"/>
  <c r="C23" i="37"/>
  <c r="G5" i="27"/>
  <c r="G4" i="27"/>
  <c r="G7" i="27" s="1"/>
  <c r="D97" i="29"/>
  <c r="D64" i="29"/>
  <c r="D78" i="29" s="1"/>
  <c r="D79" i="29" s="1"/>
  <c r="D25" i="29"/>
  <c r="D33" i="29" s="1"/>
  <c r="D21" i="29"/>
  <c r="D19" i="29"/>
  <c r="C18" i="37"/>
  <c r="C19" i="37"/>
  <c r="C43" i="37"/>
  <c r="C40" i="37"/>
  <c r="C41" i="37"/>
  <c r="C29" i="37"/>
  <c r="C31" i="37"/>
  <c r="H24" i="19"/>
  <c r="H13" i="19"/>
  <c r="H32" i="19"/>
  <c r="E28" i="31"/>
  <c r="E27" i="31"/>
  <c r="J17" i="27" l="1"/>
  <c r="G123" i="33"/>
  <c r="F135" i="33" s="1"/>
  <c r="F50" i="34"/>
  <c r="F51" i="34" s="1"/>
  <c r="F132" i="34" s="1"/>
  <c r="F50" i="29"/>
  <c r="F51" i="29" s="1"/>
  <c r="F132" i="29" s="1"/>
  <c r="E10" i="31"/>
  <c r="E11" i="31" s="1"/>
  <c r="E12" i="31" s="1"/>
  <c r="E123" i="33"/>
  <c r="D135" i="33" s="1"/>
  <c r="D136" i="33" s="1"/>
  <c r="D26" i="31" s="1"/>
  <c r="E26" i="31" s="1"/>
  <c r="C16" i="31"/>
  <c r="D133" i="34"/>
  <c r="D134" i="34" s="1"/>
  <c r="E116" i="34"/>
  <c r="F133" i="34"/>
  <c r="F134" i="34" s="1"/>
  <c r="F133" i="29"/>
  <c r="F134" i="29" s="1"/>
  <c r="D51" i="29"/>
  <c r="D132" i="29" s="1"/>
  <c r="E98" i="29"/>
  <c r="D86" i="29"/>
  <c r="D83" i="29"/>
  <c r="E83" i="29" s="1"/>
  <c r="D73" i="29"/>
  <c r="D74" i="29" s="1"/>
  <c r="D36" i="29"/>
  <c r="D43" i="29" s="1"/>
  <c r="D131" i="29" s="1"/>
  <c r="E56" i="29"/>
  <c r="E59" i="29"/>
  <c r="E92" i="29"/>
  <c r="E87" i="29"/>
  <c r="E58" i="29"/>
  <c r="E60" i="29"/>
  <c r="E73" i="29"/>
  <c r="E63" i="29"/>
  <c r="E71" i="29"/>
  <c r="E57" i="29"/>
  <c r="E77" i="29"/>
  <c r="E61" i="29"/>
  <c r="E93" i="29"/>
  <c r="E91" i="29"/>
  <c r="E62" i="29"/>
  <c r="E82" i="29"/>
  <c r="D130" i="29"/>
  <c r="E85" i="29"/>
  <c r="E95" i="29"/>
  <c r="E70" i="29"/>
  <c r="E94" i="29"/>
  <c r="E78" i="29"/>
  <c r="E79" i="29" s="1"/>
  <c r="D106" i="29" s="1"/>
  <c r="F136" i="33" l="1"/>
  <c r="I7" i="31" s="1"/>
  <c r="G119" i="34"/>
  <c r="G118" i="34"/>
  <c r="H25" i="31"/>
  <c r="I25" i="31" s="1"/>
  <c r="D16" i="31"/>
  <c r="D18" i="31" s="1"/>
  <c r="C18" i="31"/>
  <c r="E122" i="34"/>
  <c r="D88" i="29"/>
  <c r="E86" i="29"/>
  <c r="E88" i="29" s="1"/>
  <c r="D107" i="29" s="1"/>
  <c r="D99" i="29"/>
  <c r="E64" i="29"/>
  <c r="D104" i="29" s="1"/>
  <c r="E72" i="29"/>
  <c r="E74" i="29" s="1"/>
  <c r="D105" i="29" s="1"/>
  <c r="E97" i="29"/>
  <c r="E99" i="29" s="1"/>
  <c r="D108" i="29" s="1"/>
  <c r="J7" i="31" l="1"/>
  <c r="F13" i="38" s="1"/>
  <c r="E13" i="38"/>
  <c r="G123" i="34"/>
  <c r="F135" i="34"/>
  <c r="F136" i="34" s="1"/>
  <c r="E119" i="34"/>
  <c r="E118" i="34"/>
  <c r="D110" i="29"/>
  <c r="E116" i="29" s="1"/>
  <c r="E122" i="29" s="1"/>
  <c r="D133" i="29"/>
  <c r="D134" i="29" s="1"/>
  <c r="I6" i="31" l="1"/>
  <c r="E123" i="34"/>
  <c r="D135" i="34" s="1"/>
  <c r="D136" i="34" s="1"/>
  <c r="D25" i="31" s="1"/>
  <c r="E25" i="31" s="1"/>
  <c r="G119" i="29"/>
  <c r="G118" i="29"/>
  <c r="E119" i="29"/>
  <c r="E118" i="29"/>
  <c r="E12" i="38" l="1"/>
  <c r="J6" i="31"/>
  <c r="F12" i="38" s="1"/>
  <c r="G123" i="29"/>
  <c r="F135" i="29" s="1"/>
  <c r="E123" i="29"/>
  <c r="D135" i="29" s="1"/>
  <c r="D136" i="29" s="1"/>
  <c r="D24" i="31" s="1"/>
  <c r="E24" i="31" s="1"/>
  <c r="E29" i="31" s="1"/>
  <c r="F136" i="29" l="1"/>
  <c r="I5" i="31" s="1"/>
  <c r="E30" i="31"/>
  <c r="C35" i="31" s="1"/>
  <c r="H26" i="31" s="1"/>
  <c r="J5" i="31" l="1"/>
  <c r="E11" i="38"/>
  <c r="E31" i="31"/>
  <c r="C37" i="31"/>
  <c r="D35" i="31"/>
  <c r="D37" i="31" s="1"/>
  <c r="J10" i="31" l="1"/>
  <c r="F11" i="38"/>
  <c r="F16" i="38" s="1"/>
  <c r="F17" i="38" l="1"/>
  <c r="F22" i="38" s="1"/>
  <c r="F24" i="38" s="1"/>
  <c r="E22" i="38"/>
  <c r="E24" i="38" s="1"/>
  <c r="J11" i="31"/>
  <c r="I24" i="31"/>
  <c r="I26" i="31" s="1"/>
  <c r="I27" i="31" s="1"/>
  <c r="H30" i="31" l="1"/>
  <c r="H29" i="31"/>
  <c r="J12" i="31"/>
  <c r="H16" i="31"/>
  <c r="I16" i="31" l="1"/>
  <c r="I18" i="31" s="1"/>
  <c r="H18" i="31"/>
  <c r="H31" i="31"/>
</calcChain>
</file>

<file path=xl/sharedStrings.xml><?xml version="1.0" encoding="utf-8"?>
<sst xmlns="http://schemas.openxmlformats.org/spreadsheetml/2006/main" count="1638" uniqueCount="373">
  <si>
    <t>Dados complementares para composição dos custos referente à mão-de-obra</t>
  </si>
  <si>
    <t>Tipo de serviço (mesmo serviço com características distintas)</t>
  </si>
  <si>
    <t>Salário normativo da categoria profissional</t>
  </si>
  <si>
    <t>Data base da categoria (dia/mês/ano)</t>
  </si>
  <si>
    <t>MÓDULO 1 - COMPOSIÇÃO DA REMUNERAÇÃO</t>
  </si>
  <si>
    <t>Composição da Remuneração</t>
  </si>
  <si>
    <t>Valor (R$)</t>
  </si>
  <si>
    <t>A</t>
  </si>
  <si>
    <t>Salário Base</t>
  </si>
  <si>
    <t>B</t>
  </si>
  <si>
    <t>Adicional de periculosidade</t>
  </si>
  <si>
    <t>C</t>
  </si>
  <si>
    <t>Adicional de insalubridade</t>
  </si>
  <si>
    <t>D</t>
  </si>
  <si>
    <t>Adicional noturno</t>
  </si>
  <si>
    <t>E</t>
  </si>
  <si>
    <t>Hora noturna adicional</t>
  </si>
  <si>
    <t>F</t>
  </si>
  <si>
    <t>Adicional de hora extra</t>
  </si>
  <si>
    <t>G</t>
  </si>
  <si>
    <t>H</t>
  </si>
  <si>
    <t>Outros (especificar)</t>
  </si>
  <si>
    <t>Total da Remuneração</t>
  </si>
  <si>
    <t>MÓDULO 2 - BENEFÍCIOS MENSAIS E DIÁRIOS</t>
  </si>
  <si>
    <t>Benefícios Mensais e Diários</t>
  </si>
  <si>
    <t>Assistência médica e familiar</t>
  </si>
  <si>
    <t>Total de benefícios mensais e diários</t>
  </si>
  <si>
    <t>Insumos diversos</t>
  </si>
  <si>
    <t>Total de Insumos Diversos:</t>
  </si>
  <si>
    <t>MÓDULO 4 - ENCARGOS SOCIAIS E TRABALHISTAS</t>
  </si>
  <si>
    <t>4.1</t>
  </si>
  <si>
    <t>Encargos previdenciários e FGTS</t>
  </si>
  <si>
    <t>%</t>
  </si>
  <si>
    <t>INSS</t>
  </si>
  <si>
    <t>SESI OU SESC</t>
  </si>
  <si>
    <t>SENAI OU SENAC</t>
  </si>
  <si>
    <t>INCRA</t>
  </si>
  <si>
    <t>Salário Educação</t>
  </si>
  <si>
    <t>FGTS</t>
  </si>
  <si>
    <t>SEBRAE</t>
  </si>
  <si>
    <t>Total</t>
  </si>
  <si>
    <t>4.2</t>
  </si>
  <si>
    <t>13º Salário</t>
  </si>
  <si>
    <t>Subtotal</t>
  </si>
  <si>
    <t>Submódulo 4.3 - Afastamento Maternidade</t>
  </si>
  <si>
    <t>4.3</t>
  </si>
  <si>
    <t>Afastamento Maternidade</t>
  </si>
  <si>
    <t>4.4</t>
  </si>
  <si>
    <t>Provisão para Rescisão</t>
  </si>
  <si>
    <t>Aviso prévio indenizado</t>
  </si>
  <si>
    <t>Aviso prévio trabalhado</t>
  </si>
  <si>
    <t>Total:</t>
  </si>
  <si>
    <t>Submódulo 4.5 - Custo de Reposição do Profissional Ausente</t>
  </si>
  <si>
    <t>4.5</t>
  </si>
  <si>
    <t>Composição do custo de Reposição do Profissional Ausente</t>
  </si>
  <si>
    <t>Ausência por doença</t>
  </si>
  <si>
    <t>Ausências legais</t>
  </si>
  <si>
    <t>Ausência por acidente de trabalho</t>
  </si>
  <si>
    <t>QUADRO RESUMO - MÓDULO 4: ENCARGOS SOCIAIS E TRABALHISTAS</t>
  </si>
  <si>
    <t>Módulo 4 - Encargos Sociais e Trabalhistas</t>
  </si>
  <si>
    <t>Custo de Rescisão</t>
  </si>
  <si>
    <t>Custo de Reposição do Profissional Ausente</t>
  </si>
  <si>
    <t>4.6</t>
  </si>
  <si>
    <t>Outros (Especificar)</t>
  </si>
  <si>
    <t>MÓDULO 5 - CUSTOS INDIRETOS, TRIBUTOS E LUCRO</t>
  </si>
  <si>
    <t>Custos Indiretos, Tributos e Lucro</t>
  </si>
  <si>
    <t>Custos Indiretos</t>
  </si>
  <si>
    <t>Tributos</t>
  </si>
  <si>
    <t>Quadro-resumo do Custo por empregado – (Valor por empregado)</t>
  </si>
  <si>
    <t>Mão-de-Obra vinculada à execução contratual (valor por empregado)</t>
  </si>
  <si>
    <t>(R$)</t>
  </si>
  <si>
    <t>Subtotal (A + B + C + D):</t>
  </si>
  <si>
    <t>Valor total por empregado:</t>
  </si>
  <si>
    <t xml:space="preserve">Licitação nº </t>
  </si>
  <si>
    <t>Discriminação dos Serviços (dados referentes à contratação)</t>
  </si>
  <si>
    <t>Nº de meses de execução contratual</t>
  </si>
  <si>
    <t>12 meses</t>
  </si>
  <si>
    <t>Identificação do Serviço</t>
  </si>
  <si>
    <t>Tipo de Serviço</t>
  </si>
  <si>
    <t>Unidade de Medida</t>
  </si>
  <si>
    <t>Quantidade (total) a contratar (em função da unidade de medida)</t>
  </si>
  <si>
    <t>Auxílio Creche</t>
  </si>
  <si>
    <t>Submódulo 4.1 - Encargos previdenciários, FGTS e outras contribuições</t>
  </si>
  <si>
    <t>Submódulo 4.2 - 13º (décimo terceiro) Salário</t>
  </si>
  <si>
    <t>Multa do FGTS e contribuições sociais s/aviso prévio indenizado</t>
  </si>
  <si>
    <t>Multa FGTS  e contribuições sociais do aviso prévio trabalhado</t>
  </si>
  <si>
    <t>Submódulo 4.4 – Provisão para Rescisão</t>
  </si>
  <si>
    <t>Categoria profissional (44 hs/semanais)</t>
  </si>
  <si>
    <t>Salário Família</t>
  </si>
  <si>
    <t>MÓDULO 3 - INSUMOS DIVERSOS</t>
  </si>
  <si>
    <t xml:space="preserve">Seguro acidente do trabalho </t>
  </si>
  <si>
    <t>13º Salário  e Adicional de Férias</t>
  </si>
  <si>
    <t>Adicional de Férias</t>
  </si>
  <si>
    <t xml:space="preserve">Encargos Previdênciários, FGTS </t>
  </si>
  <si>
    <t>13º (décimo terceiro) Salário + Adicional de Férias</t>
  </si>
  <si>
    <t xml:space="preserve">Anexo III – B </t>
  </si>
  <si>
    <t>POSTO</t>
  </si>
  <si>
    <t>1 (um)</t>
  </si>
  <si>
    <t>Subtotal A</t>
  </si>
  <si>
    <t>Categoria Funcional</t>
  </si>
  <si>
    <t>Quantidade</t>
  </si>
  <si>
    <t>Preço Unitário (R$)</t>
  </si>
  <si>
    <t>Preço Parcial</t>
  </si>
  <si>
    <t xml:space="preserve">TOTAL GERAL MENSAL </t>
  </si>
  <si>
    <t xml:space="preserve">TOTAL GERAL ANUAL </t>
  </si>
  <si>
    <t>Unidade</t>
  </si>
  <si>
    <t>Preço Unitário</t>
  </si>
  <si>
    <t>Material</t>
  </si>
  <si>
    <t>Equipamentos</t>
  </si>
  <si>
    <t>QUADRO RESUMO DO VALOR MENSAL DOS SERVIÇOS - MÃO DE OBRA</t>
  </si>
  <si>
    <t>Intervalo Intrajornada</t>
  </si>
  <si>
    <t>Afastamento Maternidade (0,074%)</t>
  </si>
  <si>
    <t>Pregão Eletrônico nº 08/2016</t>
  </si>
  <si>
    <t>Nº Processo: 48000.000678/2016-94</t>
  </si>
  <si>
    <t>ENCARREGADO</t>
  </si>
  <si>
    <t>Posto</t>
  </si>
  <si>
    <t>Item</t>
  </si>
  <si>
    <t>Descrição</t>
  </si>
  <si>
    <t>Fornecimento Semestral</t>
  </si>
  <si>
    <t>Preço Unitário- Média</t>
  </si>
  <si>
    <t xml:space="preserve">TOTAL </t>
  </si>
  <si>
    <t>GARÇOM</t>
  </si>
  <si>
    <t xml:space="preserve">VALOR MENSAL GARÇOM </t>
  </si>
  <si>
    <t>GARÇONETE</t>
  </si>
  <si>
    <t>Preço Unitário - Média</t>
  </si>
  <si>
    <t>VALOR MENSAL GARÇONETE</t>
  </si>
  <si>
    <t>COPEIRA</t>
  </si>
  <si>
    <t>Total Anual</t>
  </si>
  <si>
    <t>VALOR MENSAL COPEIRA</t>
  </si>
  <si>
    <t>VALOR MENSAL ENCARREGADO</t>
  </si>
  <si>
    <t>AUX. SERVIÇOS GERAIS</t>
  </si>
  <si>
    <t>VALOR MENSAL AUXILIAR SERVIÇOS GERAIS</t>
  </si>
  <si>
    <t>Encarregado</t>
  </si>
  <si>
    <t>Copeira</t>
  </si>
  <si>
    <t>Garçom</t>
  </si>
  <si>
    <t xml:space="preserve">Garçonete </t>
  </si>
  <si>
    <t>Treinamento específico na área de atuação e de Sustentabilidade Ambiental, conforme dispostos no Itens 12.49 e 17.8 do Termo de Referência.</t>
  </si>
  <si>
    <t>TREINAMENTO</t>
  </si>
  <si>
    <t>ITEM</t>
  </si>
  <si>
    <t xml:space="preserve">Qt. </t>
  </si>
  <si>
    <t>Qtde Anual</t>
  </si>
  <si>
    <t xml:space="preserve">Valor Anual </t>
  </si>
  <si>
    <t>Treinamento específico na área de atuação e sustentabilidade ambiental conforme dispostos nos itens 12.49 e 17.8 do Termo de Referência.</t>
  </si>
  <si>
    <t xml:space="preserve">Treinamento/capacitação </t>
  </si>
  <si>
    <t>CUSTO MENSAL POR POSTO</t>
  </si>
  <si>
    <t>PLANILHA DE CURSO - SUSTENTABILIDADE E TREINAMENTO ÁREA DE ATUAÇÃO.</t>
  </si>
  <si>
    <t>Categoria</t>
  </si>
  <si>
    <t>Valor Mensal Estimado / Funcionário</t>
  </si>
  <si>
    <t>Total Mensal</t>
  </si>
  <si>
    <t>Funcionário</t>
  </si>
  <si>
    <t>1.0</t>
  </si>
  <si>
    <t>2.0</t>
  </si>
  <si>
    <t>3.0</t>
  </si>
  <si>
    <t>4.0</t>
  </si>
  <si>
    <t>5.0</t>
  </si>
  <si>
    <t>AUXILIAR OPERACIONAL</t>
  </si>
  <si>
    <t>SOMA</t>
  </si>
  <si>
    <t>Fonte de Preços:</t>
  </si>
  <si>
    <t>SENAC – Serviço Nacional de Aprendizagem Comercial</t>
  </si>
  <si>
    <t>CNPJ: 03.296.968/0001-03</t>
  </si>
  <si>
    <t>Contato e Negociações: Núcleo de Relações Empresariais (re@senacdf.com.br)</t>
  </si>
  <si>
    <t>Tel: 3313-8712 / 3313-8714 - FAX: 3313-8806</t>
  </si>
  <si>
    <t>Produtos/Materiais</t>
  </si>
  <si>
    <t>Und</t>
  </si>
  <si>
    <t>Qtd. Mensal</t>
  </si>
  <si>
    <t>Qtd. Anual</t>
  </si>
  <si>
    <t>Valor Unitário</t>
  </si>
  <si>
    <t>Pct</t>
  </si>
  <si>
    <t>Kg</t>
  </si>
  <si>
    <t>Un</t>
  </si>
  <si>
    <t>Lt</t>
  </si>
  <si>
    <t>Cx</t>
  </si>
  <si>
    <t>TOTAL MENSAL</t>
  </si>
  <si>
    <t>Valor Total Anual</t>
  </si>
  <si>
    <t>Valor Total Mensal</t>
  </si>
  <si>
    <t>TOTAL ANUAL</t>
  </si>
  <si>
    <t>VALOR GLOBAL DOS SERVIÇOS (MÃO DE OBRA + MATERIAIS)</t>
  </si>
  <si>
    <t>Mensal</t>
  </si>
  <si>
    <t>Anual</t>
  </si>
  <si>
    <t>Mão de obra</t>
  </si>
  <si>
    <t>Materiais</t>
  </si>
  <si>
    <t xml:space="preserve">TOTAL GERAL </t>
  </si>
  <si>
    <t>Auxiliar de Serviços Gerais</t>
  </si>
  <si>
    <t>MEMÓRIA DE CALCULO DOS ENCARGOS SOCIAIS</t>
  </si>
  <si>
    <t>Submódulo 4.1 Encargos Previdenciários e FGTS</t>
  </si>
  <si>
    <t xml:space="preserve">Conforme o artigo 22, inciso I, da Lei 8.212/91, a empresa custeia 20%.
</t>
  </si>
  <si>
    <t>SESI/SESC</t>
  </si>
  <si>
    <t xml:space="preserve">Por força do artigo 30 da Lei nº 8.036/90, a contratada fica obrigada a contribuir com 1,5% para manutenção desses sistemas.
</t>
  </si>
  <si>
    <t>SENAI/SENAC</t>
  </si>
  <si>
    <t xml:space="preserve">O contribuinte arca com 1%, em obediência ao Decreto-Lei nº 2.318/86.
</t>
  </si>
  <si>
    <t>A empresa participa com 0,2%, para atendimento dos artigos 1º e 2º do Decreto-Lei nº 1.146/70.</t>
  </si>
  <si>
    <t>SALÁRIO EDUCAÇÃO</t>
  </si>
  <si>
    <t xml:space="preserve">A prestadora de serviços contribui com 2,5%, por determinação do art. 15, da Lei nº 9.424/96; do art. 2º do Decreto nº 3.142/99; e art. 212, § 5º da CF.
</t>
  </si>
  <si>
    <t xml:space="preserve">O depósito voltou a ser de 8%, como preconiza a Lei Complementar 110/2001. O tributo está previsto no art. 7º, Inciso III, da Constituição Federal, tendo sido regulamentado pela Lei nº 8.030/90, artigo 15.
</t>
  </si>
  <si>
    <t>SEGURO ACIDENTE DE TRABALHO + FAP</t>
  </si>
  <si>
    <t xml:space="preserve">Segundo a classificação do nível de risco dos serviços, o prêmio pode ser de 1%, 2% ou 3%, é o que preceitua o artigo 22, inciso II, da Lei nº 8.212/91.  
</t>
  </si>
  <si>
    <t xml:space="preserve">O empregador, para atender à Lei nº 8.029/90, contribui com 0,6% sobre a folha de pagamento.
</t>
  </si>
  <si>
    <t>TOTAL</t>
  </si>
  <si>
    <t>Submódulo 4.2 - 13º e Adicional de Férias</t>
  </si>
  <si>
    <t>13º SALÁRIO</t>
  </si>
  <si>
    <t xml:space="preserve">Conforme Manual de Preenchimento MPOG </t>
  </si>
  <si>
    <t>SUBTOTAL</t>
  </si>
  <si>
    <t>Item A do submódulo 4.2 + Item B do submódulo 4.2</t>
  </si>
  <si>
    <t>INCIDENCIA DO SUBMÓDULO 4.1 SOBRE 0 13º SALÁRIO E ADICIONAL DE FÉRIAS</t>
  </si>
  <si>
    <t>Total do submódulo 4.1 x Subtotal do Submódulo 4.2</t>
  </si>
  <si>
    <t>AFASTAMENTO MATERNIDADE</t>
  </si>
  <si>
    <t>O salário referente ao período de licença maternidade e  gratificação natalina são cobertos pela Previdência Social, de modo que o salário do substituto e o décimo terceiro respectivo já consta na planilha de custos. Contudo, a Previdência não cobre a remuneração de férias proporcional ao período da licença, de modo que a planilha acaba não cobrindo as férias do substituto. De forma a sanar o problema, deve-se incluir um item no Grupo B para cotar as férias sobre licença maternidade, tem-se então: 11,11%= 0,1111 (custo sobre os salários das férias integrais dos trabalhadores), 0,7% = 0,007 (percentual de mulheres que se afastam por licença maternidade), 4 meses ao ano = 4/12 = 0,3333 (período em um ano que se referem as férias proporcionais ora calculadas). Cálculo [(0,1150 x 0,007 x 0,333) x 100] = 0,03%.</t>
  </si>
  <si>
    <t>INCIDENCIA DO SUBMÓDULO 4.1 SOBRE O AFASTAMENTO MATERNIDADE</t>
  </si>
  <si>
    <t>Total do submódulo 4.1 x o item A do submódulo 4.3</t>
  </si>
  <si>
    <t>Submódulo 4.4 Provisão para Rescisão</t>
  </si>
  <si>
    <t>Incidência do FGTS sobre o aviso prévio indenizado</t>
  </si>
  <si>
    <t>FGTS 8% x o item A do submódulo 4.4</t>
  </si>
  <si>
    <t>Multa do FGTS do aviso prévio indenizado</t>
  </si>
  <si>
    <t>Conforme CCT SEAC x SINDSERVIÇOS 2016</t>
  </si>
  <si>
    <t>Incidência do submódulo 4.1 sobre o aviso prévio trabalhado</t>
  </si>
  <si>
    <t>Total do Submódulo 4.1 x o ite D do submódulo 4.4</t>
  </si>
  <si>
    <t>Multa do FGTS do aviso prévio trabalhado</t>
  </si>
  <si>
    <t>Submódulo 4.5 - Composição do Custo de Reposição do Profissional Ausente</t>
  </si>
  <si>
    <t>FÉRIAS E ADICIONAL</t>
  </si>
  <si>
    <t>AUSÊNCIA POR DOENÇA</t>
  </si>
  <si>
    <t>LICENÇA PATERNIDADE</t>
  </si>
  <si>
    <t>AUSÊNCIAS LEGAIS</t>
  </si>
  <si>
    <t>AUSÊNCIA POR ACIDENTE DE TRABALHO</t>
  </si>
  <si>
    <t>45,5 percentual média de trabalhadores</t>
  </si>
  <si>
    <t>OUTROS (ESPECIFICAR)</t>
  </si>
  <si>
    <t>Soma dos itens A + B+C+D+E+F do submódulo 4.5</t>
  </si>
  <si>
    <t>Incidência do submódulo 4.1 sobre o CUSTO DE REPOSIÇÃO</t>
  </si>
  <si>
    <t>Total do submódulo 4.1 x o subtotal do submódulo 4.5</t>
  </si>
  <si>
    <t>TOTAL DE ENCARGOS SOCIAIS</t>
  </si>
  <si>
    <t>Férias + 1/3 constitucional de férias (11,11%)</t>
  </si>
  <si>
    <t>Licença Paternidade</t>
  </si>
  <si>
    <t xml:space="preserve">Uniformes </t>
  </si>
  <si>
    <t xml:space="preserve">Seguro de vida e Auxílio Funeral </t>
  </si>
  <si>
    <t xml:space="preserve">Assistência Odontológica </t>
  </si>
  <si>
    <t>2017/2017</t>
  </si>
  <si>
    <t>CONVENÇÃO COLETIVA DE TRABALHO /SEAC SINDISERVIÇOS</t>
  </si>
  <si>
    <t>Data da apresentação da proposta  - 27/07/2016</t>
  </si>
  <si>
    <t>Município/UF        -      BRASÍLIA - DF</t>
  </si>
  <si>
    <t>CCT - 2017</t>
  </si>
  <si>
    <t>Fator</t>
  </si>
  <si>
    <t>REPACTUADO</t>
  </si>
  <si>
    <t>DIFERENÇA MENSAL</t>
  </si>
  <si>
    <t>QUADRO COMPARATIVO</t>
  </si>
  <si>
    <t>ATUAL/SEM REPACTUAR</t>
  </si>
  <si>
    <t>MENSAL</t>
  </si>
  <si>
    <t>SERVIÇOS</t>
  </si>
  <si>
    <t>MATERIAL</t>
  </si>
  <si>
    <r>
      <rPr>
        <b/>
        <sz val="9"/>
        <color indexed="8"/>
        <rFont val="Calibri"/>
        <family val="2"/>
        <scheme val="minor"/>
      </rPr>
      <t>Nota:</t>
    </r>
    <r>
      <rPr>
        <sz val="9"/>
        <color indexed="8"/>
        <rFont val="Calibri"/>
        <family val="2"/>
        <scheme val="minor"/>
      </rPr>
      <t xml:space="preserve"> Valores mensais por empregado.</t>
    </r>
  </si>
  <si>
    <r>
      <t xml:space="preserve">Nota(1): </t>
    </r>
    <r>
      <rPr>
        <sz val="9"/>
        <color indexed="8"/>
        <rFont val="Calibri"/>
        <family val="2"/>
        <scheme val="minor"/>
      </rPr>
      <t>Custos indiretos, tributos e lucro por empregado.</t>
    </r>
  </si>
  <si>
    <r>
      <t xml:space="preserve">Nota(2): </t>
    </r>
    <r>
      <rPr>
        <sz val="9"/>
        <color indexed="8"/>
        <rFont val="Calibri"/>
        <family val="2"/>
        <scheme val="minor"/>
      </rPr>
      <t>O valor referente a tributos é obtido aplicando-se o percentual sobre o valor do faturamento.</t>
    </r>
  </si>
  <si>
    <r>
      <rPr>
        <b/>
        <sz val="8"/>
        <color indexed="8"/>
        <rFont val="Calibri"/>
        <family val="2"/>
        <scheme val="minor"/>
      </rPr>
      <t xml:space="preserve">Nota (1) </t>
    </r>
    <r>
      <rPr>
        <sz val="8"/>
        <color indexed="8"/>
        <rFont val="Calibri"/>
        <family val="2"/>
        <scheme val="minor"/>
      </rPr>
      <t>- Os percentuais dos encargos previdenciários e FGTS são aqueles estabelecidos pela legislação vigente.</t>
    </r>
  </si>
  <si>
    <r>
      <rPr>
        <b/>
        <sz val="8"/>
        <color indexed="8"/>
        <rFont val="Calibri"/>
        <family val="2"/>
        <scheme val="minor"/>
      </rPr>
      <t>Nota (2)</t>
    </r>
    <r>
      <rPr>
        <sz val="8"/>
        <color indexed="8"/>
        <rFont val="Calibri"/>
        <family val="2"/>
        <scheme val="minor"/>
      </rPr>
      <t xml:space="preserve"> - Percentuais incidentes sobre a remuneração.</t>
    </r>
  </si>
  <si>
    <r>
      <rPr>
        <b/>
        <sz val="8"/>
        <color indexed="8"/>
        <rFont val="Calibri"/>
        <family val="2"/>
        <scheme val="minor"/>
      </rPr>
      <t xml:space="preserve">Nota (3) </t>
    </r>
    <r>
      <rPr>
        <sz val="8"/>
        <color indexed="8"/>
        <rFont val="Calibri"/>
        <family val="2"/>
        <scheme val="minor"/>
      </rPr>
      <t>- Para o preenchimento do item RAT (2,00%) deverá ser considerado o valor do seu FAP (0,8903%)</t>
    </r>
  </si>
  <si>
    <r>
      <rPr>
        <b/>
        <sz val="8"/>
        <color indexed="8"/>
        <rFont val="Calibri"/>
        <family val="2"/>
        <scheme val="minor"/>
      </rPr>
      <t xml:space="preserve">Nota: </t>
    </r>
    <r>
      <rPr>
        <sz val="8"/>
        <color indexed="8"/>
        <rFont val="Calibri"/>
        <family val="2"/>
        <scheme val="minor"/>
      </rPr>
      <t>O valor informado deverá ser o custo real do insumo (descontado o valor eventualmente pago pelo empregado).</t>
    </r>
  </si>
  <si>
    <r>
      <rPr>
        <b/>
        <sz val="10"/>
        <color indexed="8"/>
        <rFont val="Calibri"/>
        <family val="2"/>
        <scheme val="minor"/>
      </rPr>
      <t xml:space="preserve">Módulo 1 </t>
    </r>
    <r>
      <rPr>
        <sz val="10"/>
        <color indexed="8"/>
        <rFont val="Calibri"/>
        <family val="2"/>
        <scheme val="minor"/>
      </rPr>
      <t>- Composição da Remuneração</t>
    </r>
  </si>
  <si>
    <r>
      <rPr>
        <b/>
        <sz val="10"/>
        <color indexed="8"/>
        <rFont val="Calibri"/>
        <family val="2"/>
        <scheme val="minor"/>
      </rPr>
      <t>Módulo 2</t>
    </r>
    <r>
      <rPr>
        <sz val="10"/>
        <color indexed="8"/>
        <rFont val="Calibri"/>
        <family val="2"/>
        <scheme val="minor"/>
      </rPr>
      <t xml:space="preserve"> - Benefícios Mensais e Diários</t>
    </r>
  </si>
  <si>
    <r>
      <rPr>
        <b/>
        <sz val="10"/>
        <color indexed="8"/>
        <rFont val="Calibri"/>
        <family val="2"/>
        <scheme val="minor"/>
      </rPr>
      <t xml:space="preserve">Módulo 3 </t>
    </r>
    <r>
      <rPr>
        <sz val="10"/>
        <color indexed="8"/>
        <rFont val="Calibri"/>
        <family val="2"/>
        <scheme val="minor"/>
      </rPr>
      <t>- Insumos Diversos (uniformes, materiais, equipamentos e outros).</t>
    </r>
  </si>
  <si>
    <r>
      <rPr>
        <b/>
        <sz val="10"/>
        <color indexed="8"/>
        <rFont val="Calibri"/>
        <family val="2"/>
        <scheme val="minor"/>
      </rPr>
      <t>Módulo 4</t>
    </r>
    <r>
      <rPr>
        <sz val="10"/>
        <color indexed="8"/>
        <rFont val="Calibri"/>
        <family val="2"/>
        <scheme val="minor"/>
      </rPr>
      <t xml:space="preserve"> - Encargos Sociais e Trabalhistas</t>
    </r>
  </si>
  <si>
    <r>
      <rPr>
        <b/>
        <sz val="10"/>
        <color indexed="8"/>
        <rFont val="Calibri"/>
        <family val="2"/>
        <scheme val="minor"/>
      </rPr>
      <t>Módulo 5</t>
    </r>
    <r>
      <rPr>
        <sz val="10"/>
        <color indexed="8"/>
        <rFont val="Calibri"/>
        <family val="2"/>
        <scheme val="minor"/>
      </rPr>
      <t xml:space="preserve"> - Custos Indiretos, Tributos e Lucro</t>
    </r>
  </si>
  <si>
    <r>
      <rPr>
        <b/>
        <sz val="10"/>
        <color indexed="8"/>
        <rFont val="Calibri"/>
        <family val="2"/>
        <scheme val="minor"/>
      </rPr>
      <t xml:space="preserve">B.1 </t>
    </r>
    <r>
      <rPr>
        <sz val="10"/>
        <color indexed="8"/>
        <rFont val="Calibri"/>
        <family val="2"/>
        <scheme val="minor"/>
      </rPr>
      <t xml:space="preserve">Tributos Federais </t>
    </r>
    <r>
      <rPr>
        <b/>
        <sz val="10"/>
        <color indexed="8"/>
        <rFont val="Calibri"/>
        <family val="2"/>
        <scheme val="minor"/>
      </rPr>
      <t>PIS (1,65) + CONFINS (7,60%)</t>
    </r>
  </si>
  <si>
    <r>
      <rPr>
        <b/>
        <sz val="10"/>
        <color indexed="8"/>
        <rFont val="Calibri"/>
        <family val="2"/>
        <scheme val="minor"/>
      </rPr>
      <t xml:space="preserve">B.2 </t>
    </r>
    <r>
      <rPr>
        <sz val="10"/>
        <color indexed="8"/>
        <rFont val="Calibri"/>
        <family val="2"/>
        <scheme val="minor"/>
      </rPr>
      <t xml:space="preserve"> Tributos Estaduais - </t>
    </r>
    <r>
      <rPr>
        <b/>
        <sz val="10"/>
        <color indexed="8"/>
        <rFont val="Calibri"/>
        <family val="2"/>
        <scheme val="minor"/>
      </rPr>
      <t>ISS (5%)</t>
    </r>
  </si>
  <si>
    <r>
      <rPr>
        <b/>
        <sz val="10"/>
        <color indexed="8"/>
        <rFont val="Calibri"/>
        <family val="2"/>
        <scheme val="minor"/>
      </rPr>
      <t>B.3</t>
    </r>
    <r>
      <rPr>
        <sz val="10"/>
        <color indexed="8"/>
        <rFont val="Calibri"/>
        <family val="2"/>
        <scheme val="minor"/>
      </rPr>
      <t xml:space="preserve"> Tributos Municipais (especificar)</t>
    </r>
  </si>
  <si>
    <r>
      <rPr>
        <b/>
        <sz val="10"/>
        <color indexed="8"/>
        <rFont val="Calibri"/>
        <family val="2"/>
        <scheme val="minor"/>
      </rPr>
      <t xml:space="preserve">B.4 </t>
    </r>
    <r>
      <rPr>
        <sz val="10"/>
        <color indexed="8"/>
        <rFont val="Calibri"/>
        <family val="2"/>
        <scheme val="minor"/>
      </rPr>
      <t>Outros Tributos (especificar)</t>
    </r>
  </si>
  <si>
    <r>
      <rPr>
        <b/>
        <sz val="10"/>
        <color indexed="8"/>
        <rFont val="Calibri"/>
        <family val="2"/>
        <scheme val="minor"/>
      </rPr>
      <t xml:space="preserve">Lucro </t>
    </r>
    <r>
      <rPr>
        <sz val="10"/>
        <color indexed="8"/>
        <rFont val="Calibri"/>
        <family val="2"/>
        <scheme val="minor"/>
      </rPr>
      <t>(8.65%) - Estudo TCU - TC 025.990/2008-2</t>
    </r>
  </si>
  <si>
    <r>
      <rPr>
        <b/>
        <sz val="8"/>
        <color indexed="8"/>
        <rFont val="Calibri"/>
        <family val="2"/>
        <scheme val="minor"/>
      </rPr>
      <t>Nota (1)</t>
    </r>
    <r>
      <rPr>
        <sz val="8"/>
        <color indexed="8"/>
        <rFont val="Calibri"/>
        <family val="2"/>
        <scheme val="minor"/>
      </rPr>
      <t xml:space="preserve"> - Custos indiretos, Tributos e Lucro por empregado.</t>
    </r>
  </si>
  <si>
    <r>
      <rPr>
        <b/>
        <sz val="8"/>
        <color indexed="8"/>
        <rFont val="Calibri"/>
        <family val="2"/>
        <scheme val="minor"/>
      </rPr>
      <t xml:space="preserve">Nota (2) </t>
    </r>
    <r>
      <rPr>
        <sz val="8"/>
        <color indexed="8"/>
        <rFont val="Calibri"/>
        <family val="2"/>
        <scheme val="minor"/>
      </rPr>
      <t>- O valor referente a tributos é obtido aplicando-se o percentual sobre o faturamento.</t>
    </r>
  </si>
  <si>
    <r>
      <rPr>
        <b/>
        <sz val="10"/>
        <color indexed="8"/>
        <rFont val="Calibri"/>
        <family val="2"/>
        <scheme val="minor"/>
      </rPr>
      <t>Incidência do submódulo 4.1</t>
    </r>
    <r>
      <rPr>
        <sz val="10"/>
        <color indexed="8"/>
        <rFont val="Calibri"/>
        <family val="2"/>
        <scheme val="minor"/>
      </rPr>
      <t xml:space="preserve"> sobre o Custo de Reposição</t>
    </r>
  </si>
  <si>
    <r>
      <rPr>
        <b/>
        <sz val="10"/>
        <color indexed="8"/>
        <rFont val="Calibri"/>
        <family val="2"/>
        <scheme val="minor"/>
      </rPr>
      <t xml:space="preserve">Incidência do Submódulo 4.1 </t>
    </r>
    <r>
      <rPr>
        <sz val="10"/>
        <color indexed="8"/>
        <rFont val="Calibri"/>
        <family val="2"/>
        <scheme val="minor"/>
      </rPr>
      <t>sobre 13º (décimo terceiro) Salário</t>
    </r>
  </si>
  <si>
    <r>
      <rPr>
        <b/>
        <sz val="10"/>
        <color indexed="8"/>
        <rFont val="Calibri"/>
        <family val="2"/>
        <scheme val="minor"/>
      </rPr>
      <t>Incidência do submódulo 4.1</t>
    </r>
    <r>
      <rPr>
        <sz val="10"/>
        <color indexed="8"/>
        <rFont val="Calibri"/>
        <family val="2"/>
        <scheme val="minor"/>
      </rPr>
      <t xml:space="preserve"> sobre afastamento maternidade</t>
    </r>
  </si>
  <si>
    <r>
      <rPr>
        <b/>
        <sz val="10"/>
        <color indexed="8"/>
        <rFont val="Calibri"/>
        <family val="2"/>
        <scheme val="minor"/>
      </rPr>
      <t>Incidência do submódulo 4.1</t>
    </r>
    <r>
      <rPr>
        <sz val="10"/>
        <color indexed="8"/>
        <rFont val="Calibri"/>
        <family val="2"/>
        <scheme val="minor"/>
      </rPr>
      <t xml:space="preserve"> sobre aviso prévio indenizado</t>
    </r>
  </si>
  <si>
    <r>
      <rPr>
        <b/>
        <sz val="10"/>
        <color indexed="8"/>
        <rFont val="Calibri"/>
        <family val="2"/>
        <scheme val="minor"/>
      </rPr>
      <t>Incidência do submódulo 4.1</t>
    </r>
    <r>
      <rPr>
        <sz val="10"/>
        <color indexed="8"/>
        <rFont val="Calibri"/>
        <family val="2"/>
        <scheme val="minor"/>
      </rPr>
      <t xml:space="preserve"> s/aviso prévio trabalhado</t>
    </r>
  </si>
  <si>
    <t xml:space="preserve">Transporte= [20,7365 dias x 2(R$5,00) - Participação empregado = 6%] </t>
  </si>
  <si>
    <t>Quantidade (total) a contratar                                 (em função da unidade de medida)</t>
  </si>
  <si>
    <t xml:space="preserve"> PLANILHA DE CUSTOS E FORMAÇÃO DE PREÇOS                                                                                                                   - CONTRATO nº 16/2016-MME  -  SERV. COPEIRAGEM (Real JG) -  </t>
  </si>
  <si>
    <r>
      <rPr>
        <b/>
        <sz val="10"/>
        <rFont val="Calibri"/>
        <family val="2"/>
        <scheme val="minor"/>
      </rPr>
      <t>Incidência do submódulo 4.1</t>
    </r>
    <r>
      <rPr>
        <sz val="10"/>
        <rFont val="Calibri"/>
        <family val="2"/>
        <scheme val="minor"/>
      </rPr>
      <t xml:space="preserve"> sobre afastamento maternidade</t>
    </r>
  </si>
  <si>
    <r>
      <t>Auxílio alimentação (vales, cesta básica etc.) [20,7365  dias x</t>
    </r>
    <r>
      <rPr>
        <sz val="10"/>
        <color indexed="56"/>
        <rFont val="Calibri"/>
        <family val="2"/>
        <scheme val="minor"/>
      </rPr>
      <t xml:space="preserve"> </t>
    </r>
    <r>
      <rPr>
        <sz val="10"/>
        <color rgb="FFFF0000"/>
        <rFont val="Calibri"/>
        <family val="2"/>
        <scheme val="minor"/>
      </rPr>
      <t>R</t>
    </r>
    <r>
      <rPr>
        <b/>
        <sz val="10"/>
        <color rgb="FFFF0000"/>
        <rFont val="Calibri"/>
        <family val="2"/>
        <scheme val="minor"/>
      </rPr>
      <t>$31,50</t>
    </r>
    <r>
      <rPr>
        <sz val="10"/>
        <color rgb="FFFF0000"/>
        <rFont val="Calibri"/>
        <family val="2"/>
        <scheme val="minor"/>
      </rPr>
      <t>]</t>
    </r>
  </si>
  <si>
    <t>2018/2018</t>
  </si>
  <si>
    <r>
      <rPr>
        <b/>
        <u/>
        <sz val="8.5"/>
        <color indexed="8"/>
        <rFont val="Calibri"/>
        <family val="2"/>
        <scheme val="minor"/>
      </rPr>
      <t xml:space="preserve">CALÇA FEMININA </t>
    </r>
    <r>
      <rPr>
        <sz val="8.5"/>
        <color indexed="8"/>
        <rFont val="Calibri"/>
        <family val="2"/>
        <scheme val="minor"/>
      </rPr>
      <t>– sob medida, de acordo com o manequim do usuário.
Tecido: Gabardine com Elastano (96% poliéster 4% elastano). Largura: 1,47.
Cor:  preta. 
Modelo: sem prega, com cós anatômico de 3,5 cm, com  frente fechado por zíper, barra overlock, nas partes desfiantes do tecido.
Aviamento: a definir na execução.
Fabricação Nacional.</t>
    </r>
  </si>
  <si>
    <r>
      <rPr>
        <b/>
        <u/>
        <sz val="8.5"/>
        <color indexed="8"/>
        <rFont val="Calibri"/>
        <family val="2"/>
        <scheme val="minor"/>
      </rPr>
      <t>BLAZER FEMININO</t>
    </r>
    <r>
      <rPr>
        <sz val="8.5"/>
        <color indexed="8"/>
        <rFont val="Calibri"/>
        <family val="2"/>
        <scheme val="minor"/>
      </rPr>
      <t xml:space="preserve"> - sob medida, de acordo com o manequim do usuário.
Tecido: Gabardine com Elastano (96% poliéster e 4% elastano). Largura: 1,47.  
Cor: preta
Modelo: corte clássico social com gola de alfaiate forrada e entretelada.
Aviamento: a definir na execução.
Fabricação Nacional.</t>
    </r>
  </si>
  <si>
    <r>
      <rPr>
        <b/>
        <u/>
        <sz val="8.5"/>
        <color indexed="8"/>
        <rFont val="Calibri"/>
        <family val="2"/>
        <scheme val="minor"/>
      </rPr>
      <t>CAMISA FEMININA</t>
    </r>
    <r>
      <rPr>
        <sz val="8.5"/>
        <color indexed="8"/>
        <rFont val="Calibri"/>
        <family val="2"/>
        <scheme val="minor"/>
      </rPr>
      <t xml:space="preserve"> - sob medida de acordo com o manequim do usuário.
Tecido: Musseline com Elastano (95% poliéster e 5% elastano).
Cor: branca
Modelo: maga longa, colarinho tradicional clássico entretelado, punho com botões, com 2 (dois) pences nas costas. 
Aviamento: a definir na execução.
Fabricação Nacional.</t>
    </r>
  </si>
  <si>
    <r>
      <rPr>
        <b/>
        <u/>
        <sz val="8.5"/>
        <color indexed="8"/>
        <rFont val="Calibri"/>
        <family val="2"/>
        <scheme val="minor"/>
      </rPr>
      <t>LENÇO</t>
    </r>
    <r>
      <rPr>
        <sz val="8.5"/>
        <color indexed="8"/>
        <rFont val="Calibri"/>
        <family val="2"/>
        <scheme val="minor"/>
      </rPr>
      <t xml:space="preserve">
Tecido: Musseline com Elastano (95% poliéster e 5% elastano). Cor: preta</t>
    </r>
  </si>
  <si>
    <r>
      <rPr>
        <b/>
        <u/>
        <sz val="8.5"/>
        <color indexed="8"/>
        <rFont val="Calibri"/>
        <family val="2"/>
        <scheme val="minor"/>
      </rPr>
      <t xml:space="preserve">MEIA ¾ </t>
    </r>
    <r>
      <rPr>
        <sz val="8.5"/>
        <color indexed="8"/>
        <rFont val="Calibri"/>
        <family val="2"/>
        <scheme val="minor"/>
      </rPr>
      <t xml:space="preserve">
Tecido: composição mínima de 84% poliamida e máxima de 86%.
Cor: da pele
Modelo: ¾ fio 15</t>
    </r>
  </si>
  <si>
    <r>
      <rPr>
        <b/>
        <u/>
        <sz val="8.5"/>
        <color indexed="8"/>
        <rFont val="Calibri"/>
        <family val="2"/>
        <scheme val="minor"/>
      </rPr>
      <t>SAPATO FEMININO</t>
    </r>
    <r>
      <rPr>
        <sz val="8.5"/>
        <color indexed="8"/>
        <rFont val="Calibri"/>
        <family val="2"/>
        <scheme val="minor"/>
      </rPr>
      <t xml:space="preserve">
Cor: preta 
Modelo: scarpin de moda feminina, modelo Usaflex ou similar, confeccionado em couro com detalhes vazados para maior ventilação. Macio para oferecer o máximo de conforto. Palmilha:  em PU, ultramacia, que garante absorção de impacto e molda-se aos pés, garantindo uma ótima ventilação e distribuindo igualmente o peso corporal. Forro que garanta o acabamento do calçado, além de proporcionar proteção e segurança ao caminhar. Salto: robusto fachetado, oferecendo conforto e mantendo a estabilidade. Também promove melhor circulação sanguínea. Altura: Salto 5cm.
Peso: + ou -  635g
Fabricação Nacional.</t>
    </r>
  </si>
  <si>
    <r>
      <rPr>
        <b/>
        <u/>
        <sz val="8.5"/>
        <color indexed="8"/>
        <rFont val="Calibri"/>
        <family val="2"/>
        <scheme val="minor"/>
      </rPr>
      <t>PRENDEDOR DE CABELO</t>
    </r>
    <r>
      <rPr>
        <sz val="8.5"/>
        <color indexed="8"/>
        <rFont val="Calibri"/>
        <family val="2"/>
        <scheme val="minor"/>
      </rPr>
      <t xml:space="preserve">
Modelo: com laço em cetim e redinha.
Cor: preta</t>
    </r>
  </si>
  <si>
    <r>
      <rPr>
        <b/>
        <u/>
        <sz val="8.5"/>
        <color indexed="8"/>
        <rFont val="Calibri"/>
        <family val="2"/>
        <scheme val="minor"/>
      </rPr>
      <t>CALÇA</t>
    </r>
    <r>
      <rPr>
        <b/>
        <sz val="8.5"/>
        <color indexed="8"/>
        <rFont val="Calibri"/>
        <family val="2"/>
        <scheme val="minor"/>
      </rPr>
      <t xml:space="preserve"> </t>
    </r>
    <r>
      <rPr>
        <sz val="8.5"/>
        <color indexed="8"/>
        <rFont val="Calibri"/>
        <family val="2"/>
        <scheme val="minor"/>
      </rPr>
      <t>– sob medida de acordo com o manequim do usuário.
Tecido: Tecido Bi-Strech; (100% Poliéster); Largura (M): +- 1,48; gramatura: 282 G/M.
Cor: preta.
Modelo: social reta sem pregas, frente com perneta (forrada forro 100% sarja de acetato até o joelho). Com dois bolsos laterais e 2 bolsos traseiros.
Aviamento: a definir na execução.
Fabricação Nacional.</t>
    </r>
  </si>
  <si>
    <r>
      <rPr>
        <b/>
        <u/>
        <sz val="8.5"/>
        <color indexed="8"/>
        <rFont val="Calibri"/>
        <family val="2"/>
        <scheme val="minor"/>
      </rPr>
      <t>PALETÓ</t>
    </r>
    <r>
      <rPr>
        <sz val="8.5"/>
        <color indexed="8"/>
        <rFont val="Calibri"/>
        <family val="2"/>
        <scheme val="minor"/>
      </rPr>
      <t>- social masculino, sob medida de acordo com o manequim do usuário.
Tecido:  Tecido Bi-Strech; (100% Poliéster); Largura (M): +- 1,48, gramatura: 282 G/M.
Modelo: frente fechado por  02  (dois) botões com casa de olho; parte interna todo forrado com forro 100% sarja de acetato, vista interna redonda francesa e ponto picado contrastando com o forro.
Cor: preta.
Aviamento: a definir na execução.
Fabricação Nacional.</t>
    </r>
  </si>
  <si>
    <r>
      <rPr>
        <b/>
        <u/>
        <sz val="8.5"/>
        <color indexed="8"/>
        <rFont val="Calibri"/>
        <family val="2"/>
        <scheme val="minor"/>
      </rPr>
      <t>CAMISA</t>
    </r>
    <r>
      <rPr>
        <sz val="8.5"/>
        <color indexed="8"/>
        <rFont val="Calibri"/>
        <family val="2"/>
        <scheme val="minor"/>
      </rPr>
      <t xml:space="preserve"> – Modelo para garçom, sob medida de acordo com o manequim do usuário, tecido de qualidade não permitindo transparecer o corpo.
Tecido: 60% algodão e 40% poliéster, largura: 1,60m ; 155 g/m linear;
Cor: branca
Modelo: frente com detalhes de pala em Piquet no peito, sendo o forro próprio o tecido da camisa, punho com botões, colarinho tradicional clássico.
Aviamento: a definir na execução.
Fabricação nacional.</t>
    </r>
  </si>
  <si>
    <r>
      <rPr>
        <b/>
        <u/>
        <sz val="8.5"/>
        <color indexed="8"/>
        <rFont val="Calibri"/>
        <family val="2"/>
        <scheme val="minor"/>
      </rPr>
      <t>GRAVATA BORBOLETA</t>
    </r>
    <r>
      <rPr>
        <sz val="8.5"/>
        <color indexed="8"/>
        <rFont val="Calibri"/>
        <family val="2"/>
        <scheme val="minor"/>
      </rPr>
      <t xml:space="preserve">
Tecido: cetim
Cor: preta
Modelo: com 02 (duas) dobras e prendedor no colarinho.</t>
    </r>
  </si>
  <si>
    <r>
      <rPr>
        <b/>
        <u/>
        <sz val="8.5"/>
        <color indexed="8"/>
        <rFont val="Calibri"/>
        <family val="2"/>
        <scheme val="minor"/>
      </rPr>
      <t>MEIA</t>
    </r>
    <r>
      <rPr>
        <sz val="8.5"/>
        <color indexed="8"/>
        <rFont val="Calibri"/>
        <family val="2"/>
        <scheme val="minor"/>
      </rPr>
      <t xml:space="preserve"> - tamanho de acordo com o usuário.
Tecido: 68% algodão, 30% poliamida e 2% elastano.
Cor: preta
Modelo: cano longo. </t>
    </r>
  </si>
  <si>
    <r>
      <rPr>
        <b/>
        <u/>
        <sz val="8.5"/>
        <color indexed="8"/>
        <rFont val="Calibri"/>
        <family val="2"/>
        <scheme val="minor"/>
      </rPr>
      <t>SAPATO MASCULINO</t>
    </r>
    <r>
      <rPr>
        <sz val="8.5"/>
        <color indexed="8"/>
        <rFont val="Calibri"/>
        <family val="2"/>
        <scheme val="minor"/>
      </rPr>
      <t xml:space="preserve">
Cor: preta 
Modelo: em couro em Napa confort, forro do cabedal de couro; forro do suador em cotelle; calcanheira inteira forrada de couro; sola pro shock z2 cafe/verde translucida tr; palmilha montagem antimicrobiana pro shock z2.; calcanheira conformada pu verm 1500 4450- Zona de amortecimento dianteira: Sistema “Comfort Structure” com estruturas massageadoras que favorecem a circulação sanguínea e linfática, permitindo maior oxigenação da região dos pés , reduz o impacto através de 14 torres amortecedoras interligadas que proporcionam alivio de dores nas costas e pescoço provocados por impactos ao caminhar e postura inadequada.
Fabricação nacional.</t>
    </r>
  </si>
  <si>
    <r>
      <rPr>
        <b/>
        <u/>
        <sz val="8.5"/>
        <color indexed="8"/>
        <rFont val="Calibri"/>
        <family val="2"/>
        <scheme val="minor"/>
      </rPr>
      <t xml:space="preserve">CINTO </t>
    </r>
    <r>
      <rPr>
        <sz val="8.5"/>
        <color indexed="8"/>
        <rFont val="Calibri"/>
        <family val="2"/>
        <scheme val="minor"/>
      </rPr>
      <t xml:space="preserve">
Modelo: social masculino, confeccionado em couro legítimo, fivela fixo em aço níquel escovado.
Cor: preta
Medida: 40 mm de largura, sem costura, com fivela fixa 5,5 cm X 4,9 cm. </t>
    </r>
  </si>
  <si>
    <r>
      <rPr>
        <b/>
        <u/>
        <sz val="8.5"/>
        <color indexed="8"/>
        <rFont val="Calibri"/>
        <family val="2"/>
        <scheme val="minor"/>
      </rPr>
      <t>CALÇA FEMININA ou SAIA</t>
    </r>
    <r>
      <rPr>
        <sz val="8.5"/>
        <color indexed="8"/>
        <rFont val="Calibri"/>
        <family val="2"/>
        <scheme val="minor"/>
      </rPr>
      <t xml:space="preserve"> - sob medida, de acordo com o manequim do usuário.
Tecido: Gabardine com elastano, (96% Poliéster e 4% elastano). Largura (M):+- 1,47 m.
Cor: a definir
Modelo: sem prega, com cós anatômico de 3,5 cm, frente fechado por zíper. Barra overlock nas partes desfiantes do tecido.
Aviamento: a definir na execução.
Fabricação Nacional.</t>
    </r>
  </si>
  <si>
    <r>
      <rPr>
        <b/>
        <u/>
        <sz val="8.5"/>
        <color indexed="8"/>
        <rFont val="Calibri"/>
        <family val="2"/>
        <scheme val="minor"/>
      </rPr>
      <t xml:space="preserve">CAMISETE </t>
    </r>
    <r>
      <rPr>
        <sz val="8.5"/>
        <color indexed="8"/>
        <rFont val="Calibri"/>
        <family val="2"/>
        <scheme val="minor"/>
      </rPr>
      <t>- sob medida, de acordo com o manequim do usuário.
Tecido: Musseline com Elastano (95% poliéster e 5% elastano).
Cor: a definir na execução.
Modelo: Manga curta, sem gola, com abertura atrás, fechada por  01 (um) botão.  
Aviamento: a definir na execução.
Fabricação Nacional.</t>
    </r>
  </si>
  <si>
    <r>
      <rPr>
        <b/>
        <u/>
        <sz val="8.5"/>
        <color indexed="8"/>
        <rFont val="Calibri"/>
        <family val="2"/>
        <scheme val="minor"/>
      </rPr>
      <t xml:space="preserve">AVENTAL </t>
    </r>
    <r>
      <rPr>
        <sz val="8.5"/>
        <color indexed="8"/>
        <rFont val="Calibri"/>
        <family val="2"/>
        <scheme val="minor"/>
      </rPr>
      <t>- sob medida, de acordo com o manequim do usuário.
Tecido: Oxford risca de giz.
Cor: a definir.
Modelo: Gola sport, 03 (três) botões no corpete, cintura marcada com costura, bolso lateral. Costa com alça cruzada fixada com 2 (dois) botões e laço. Logo da empresa bordado à altura do peito da cor da camisete.
Aviamento: a definir na execução.
Fabricação Nacional.</t>
    </r>
  </si>
  <si>
    <r>
      <rPr>
        <b/>
        <i/>
        <u/>
        <sz val="8.5"/>
        <color indexed="8"/>
        <rFont val="Calibri"/>
        <family val="2"/>
        <scheme val="minor"/>
      </rPr>
      <t>MEIA</t>
    </r>
    <r>
      <rPr>
        <i/>
        <sz val="8.5"/>
        <color indexed="8"/>
        <rFont val="Calibri"/>
        <family val="2"/>
        <scheme val="minor"/>
      </rPr>
      <t xml:space="preserve">
Tecido: 100% poliamida 
Cor: cor preta
Modelo: tamanho único</t>
    </r>
  </si>
  <si>
    <r>
      <rPr>
        <b/>
        <u/>
        <sz val="8.5"/>
        <color indexed="8"/>
        <rFont val="Calibri"/>
        <family val="2"/>
        <scheme val="minor"/>
      </rPr>
      <t>SAPATO FEMININO</t>
    </r>
    <r>
      <rPr>
        <sz val="8.5"/>
        <color indexed="8"/>
        <rFont val="Calibri"/>
        <family val="2"/>
        <scheme val="minor"/>
      </rPr>
      <t xml:space="preserve">
Cor: preta 
Modelo: sapato mocassim de moda feminina, modelo Usaflex ou similar, confeccionado em couro com prespontos manuais na borda. Palmilha em PU, ultramacia, que garante absorção de impacto e furos que facilitam na respiração do calçado. Forro que garante o acabamento do calçado, além de proporcionar proteção e segurança ao caminhar. Solado antiderrapante. Altura: Salto 1,5cm
Peso: + ou - 525g
Fabricação Nacional. </t>
    </r>
  </si>
  <si>
    <r>
      <rPr>
        <b/>
        <u/>
        <sz val="8.5"/>
        <color indexed="8"/>
        <rFont val="Calibri"/>
        <family val="2"/>
        <scheme val="minor"/>
      </rPr>
      <t xml:space="preserve">TOUCA </t>
    </r>
    <r>
      <rPr>
        <sz val="8.5"/>
        <color indexed="8"/>
        <rFont val="Calibri"/>
        <family val="2"/>
        <scheme val="minor"/>
      </rPr>
      <t>- para prender cabelos.
Tecido: para rede filó macio ou tecido fino de fácil transpiração e  para faixa tecido a combinar. 
Cor: a definir.
Modelo: faixa e rede de filó macio ou tecido fino de fácil transpiração.</t>
    </r>
  </si>
  <si>
    <r>
      <rPr>
        <b/>
        <u/>
        <sz val="8.5"/>
        <color indexed="8"/>
        <rFont val="Calibri"/>
        <family val="2"/>
        <scheme val="minor"/>
      </rPr>
      <t>CASACO DE FRIO</t>
    </r>
    <r>
      <rPr>
        <sz val="8.5"/>
        <color indexed="8"/>
        <rFont val="Calibri"/>
        <family val="2"/>
        <scheme val="minor"/>
      </rPr>
      <t xml:space="preserve"> - de acordo com o manequim do usuário.
Tecido: malha encorpada ou de lã. Cor: a definir.
Modelo: cola esporte, frente abertura com zíper ou botão.</t>
    </r>
  </si>
  <si>
    <r>
      <rPr>
        <b/>
        <u/>
        <sz val="8.5"/>
        <color indexed="8"/>
        <rFont val="Calibri"/>
        <family val="2"/>
        <scheme val="minor"/>
      </rPr>
      <t xml:space="preserve">CALÇA </t>
    </r>
    <r>
      <rPr>
        <sz val="8.5"/>
        <color indexed="8"/>
        <rFont val="Calibri"/>
        <family val="2"/>
        <scheme val="minor"/>
      </rPr>
      <t>- sob medida, de acordo com o manequim do usuário.
Tecido: Tecido Bi- Strech; (100% Poliéster); Largura (M):+- 1,48, gramatura: 282 G/M.
Cor: a definir.
Modelo: social reta sem pregas, frente com perneta (forrada forro 100% sarja de acetato  até o joelho), com dois bolsos laterais e 2 bolsos traseiros. Barra overlock nas partes desfiantes do tecido.
Aviamento: a definir na execução.
Fabricação Nacional.</t>
    </r>
  </si>
  <si>
    <r>
      <rPr>
        <b/>
        <u/>
        <sz val="8.5"/>
        <color indexed="8"/>
        <rFont val="Calibri"/>
        <family val="2"/>
        <scheme val="minor"/>
      </rPr>
      <t xml:space="preserve">CAMISA </t>
    </r>
    <r>
      <rPr>
        <sz val="8.5"/>
        <color indexed="8"/>
        <rFont val="Calibri"/>
        <family val="2"/>
        <scheme val="minor"/>
      </rPr>
      <t>- sob medida de acordo com o manequim do usuário.
Tecido: tecido 60% algodão e 40% poliéster, largura: 1,60m; 155 g/m linear
Cor: a definir.
Modelo: bolso lateral, colarinho tradicional clássico, logo da empresa bordado. Não permitir transparecer o corpo.
Aviamento: a definir na execução.
Fabricação Nacional.</t>
    </r>
  </si>
  <si>
    <r>
      <rPr>
        <b/>
        <u/>
        <sz val="8.5"/>
        <color indexed="8"/>
        <rFont val="Calibri"/>
        <family val="2"/>
        <scheme val="minor"/>
      </rPr>
      <t>MEIA</t>
    </r>
    <r>
      <rPr>
        <sz val="8.5"/>
        <color indexed="8"/>
        <rFont val="Calibri"/>
        <family val="2"/>
        <scheme val="minor"/>
      </rPr>
      <t xml:space="preserve">
Tecido: 68% algodão, 30% poliamida e 2% elastano
Cor: cor preta
Modelo: cano longo, tamanho de acordo com o usuário.</t>
    </r>
  </si>
  <si>
    <r>
      <rPr>
        <b/>
        <u/>
        <sz val="8.5"/>
        <color indexed="8"/>
        <rFont val="Calibri"/>
        <family val="2"/>
        <scheme val="minor"/>
      </rPr>
      <t>SAPATO MASCULINO</t>
    </r>
    <r>
      <rPr>
        <sz val="8.5"/>
        <color indexed="8"/>
        <rFont val="Calibri"/>
        <family val="2"/>
        <scheme val="minor"/>
      </rPr>
      <t xml:space="preserve">
Cor: preta 
Modelo: em couro em Napa confort, forro do cabedal de couro; forro do suador em cotelle; calcanheira inteira forrada de couro; sola pro shock z2 cafe/verde translucida tr; palmilha montagem antimicrobiana pro shock z2.; calcanheira conformada pu verm 1500 4450- Zona de amortecimento dianteira: Sistema “Comfort Structure” com estruturas massageadoras que favorecem a circulação sanguínea e linfática, permitindo maior oxigenação da região dos pés , reduz o impacto através de 14 torres amortecedoras interligadas que proporcionam alivio de dores nas costas e pescoço provocados por impactos ao caminhar e postura inadequada.
Fabricação Nacional.</t>
    </r>
  </si>
  <si>
    <r>
      <rPr>
        <b/>
        <u/>
        <sz val="8.5"/>
        <color indexed="8"/>
        <rFont val="Calibri"/>
        <family val="2"/>
        <scheme val="minor"/>
      </rPr>
      <t xml:space="preserve">CINTO </t>
    </r>
    <r>
      <rPr>
        <sz val="8.5"/>
        <color indexed="8"/>
        <rFont val="Calibri"/>
        <family val="2"/>
        <scheme val="minor"/>
      </rPr>
      <t xml:space="preserve">
Modelo: social masculino, confeccionado em couro legítimo, fivela fixo em aço níquel escovado.
Cor: preta
Medida: 40 mm de largura, sem costura, com fivela fixa 5,5 cm X 4,9 cm.</t>
    </r>
  </si>
  <si>
    <r>
      <rPr>
        <b/>
        <u/>
        <sz val="8.5"/>
        <color indexed="8"/>
        <rFont val="Calibri"/>
        <family val="2"/>
        <scheme val="minor"/>
      </rPr>
      <t>CASACO DE FRIO MASCULINO</t>
    </r>
    <r>
      <rPr>
        <sz val="8.5"/>
        <color indexed="8"/>
        <rFont val="Calibri"/>
        <family val="2"/>
        <scheme val="minor"/>
      </rPr>
      <t xml:space="preserve"> - de acordo com o manequim do usuário.
Tecido: malha encorpada ou de lã.
Cor: a definir.
Modelo: cola esporte, frente abertura com zíper ou botão.</t>
    </r>
  </si>
  <si>
    <r>
      <rPr>
        <b/>
        <sz val="8.5"/>
        <color indexed="8"/>
        <rFont val="Calibri"/>
        <family val="2"/>
        <scheme val="minor"/>
      </rPr>
      <t>CALÇA</t>
    </r>
    <r>
      <rPr>
        <sz val="8.5"/>
        <color indexed="8"/>
        <rFont val="Calibri"/>
        <family val="2"/>
        <scheme val="minor"/>
      </rPr>
      <t xml:space="preserve">
Tecido: Brim
Cor: a definir.
Modelo: bolso lateral e 01 (um) traseiro, cintura com elástico e cadarço. Barra overlock nas partes desfiantes do tecido.
Aviamento: a definir na execução.
Fabricação Nacional.</t>
    </r>
  </si>
  <si>
    <r>
      <rPr>
        <b/>
        <u/>
        <sz val="8.5"/>
        <color indexed="8"/>
        <rFont val="Calibri"/>
        <family val="2"/>
        <scheme val="minor"/>
      </rPr>
      <t>CAMISETA</t>
    </r>
    <r>
      <rPr>
        <sz val="8.5"/>
        <color indexed="8"/>
        <rFont val="Calibri"/>
        <family val="2"/>
        <scheme val="minor"/>
      </rPr>
      <t xml:space="preserve"> 
Tecido: Malha
Cor: a definir.
Modelo: camiseta manga curta, com ou sem gola. Logomarca da empresa.</t>
    </r>
  </si>
  <si>
    <r>
      <rPr>
        <b/>
        <u/>
        <sz val="8.5"/>
        <color indexed="8"/>
        <rFont val="Calibri"/>
        <family val="2"/>
        <scheme val="minor"/>
      </rPr>
      <t>BOTA MASCULINA</t>
    </r>
    <r>
      <rPr>
        <sz val="8.5"/>
        <color indexed="8"/>
        <rFont val="Calibri"/>
        <family val="2"/>
        <scheme val="minor"/>
      </rPr>
      <t xml:space="preserve">
Tecido: 100% couro
Cor: preta                                                                              Modelo: cano curto como solado antiderrapante, com palmilha acolchoada, anti-odor.</t>
    </r>
  </si>
  <si>
    <r>
      <t>Açúcar cristal</t>
    </r>
    <r>
      <rPr>
        <sz val="9"/>
        <color indexed="8"/>
        <rFont val="Calibri"/>
        <family val="2"/>
        <scheme val="minor"/>
      </rPr>
      <t>, branco, isento de impurezas, acondicionado em saco plástico, atóxico com data de fabricação e validade. Pacote com 5 kg.</t>
    </r>
  </si>
  <si>
    <r>
      <t>Açúcar refinado</t>
    </r>
    <r>
      <rPr>
        <sz val="9"/>
        <color indexed="8"/>
        <rFont val="Calibri"/>
        <family val="2"/>
        <scheme val="minor"/>
      </rPr>
      <t>, branco, isento de impurezas, acondicionado em saco plástico, atóxico com data de fabricação e validade. Pacote com 1 kg.</t>
    </r>
  </si>
  <si>
    <r>
      <t>Açucareiro de aço inox</t>
    </r>
    <r>
      <rPr>
        <sz val="9"/>
        <color indexed="8"/>
        <rFont val="Calibri"/>
        <family val="2"/>
        <scheme val="minor"/>
      </rPr>
      <t>, com colher e tampa, capacidade de 200 gr a 330 gr.</t>
    </r>
  </si>
  <si>
    <r>
      <t>Adoçante,</t>
    </r>
    <r>
      <rPr>
        <sz val="9"/>
        <color indexed="8"/>
        <rFont val="Calibri"/>
        <family val="2"/>
        <scheme val="minor"/>
      </rPr>
      <t xml:space="preserve"> frasco de 100 ml. Marca “Zero Cal” ou similar.</t>
    </r>
  </si>
  <si>
    <r>
      <t>Álcool,</t>
    </r>
    <r>
      <rPr>
        <sz val="9"/>
        <color indexed="8"/>
        <rFont val="Calibri"/>
        <family val="2"/>
        <scheme val="minor"/>
      </rPr>
      <t xml:space="preserve"> etílico hidratado 96º GL (92,8º inpm) 1.000 ml, com registro no “INMETRO”, para limpeza de superfícies.</t>
    </r>
  </si>
  <si>
    <r>
      <t>Alvejante</t>
    </r>
    <r>
      <rPr>
        <sz val="9"/>
        <color indexed="8"/>
        <rFont val="Calibri"/>
        <family val="2"/>
        <scheme val="minor"/>
      </rPr>
      <t>, 1.000 ml, solução aquosa a base de hipoclorito de sódio ou cálcio com teor de cloro ativo. Marca “QBoa” ou similar.</t>
    </r>
  </si>
  <si>
    <r>
      <t>Apoio para copo,</t>
    </r>
    <r>
      <rPr>
        <sz val="9"/>
        <color indexed="8"/>
        <rFont val="Calibri"/>
        <family val="2"/>
        <scheme val="minor"/>
      </rPr>
      <t xml:space="preserve"> em aço inox.</t>
    </r>
  </si>
  <si>
    <r>
      <t>Balde plástico,</t>
    </r>
    <r>
      <rPr>
        <sz val="9"/>
        <color indexed="8"/>
        <rFont val="Calibri"/>
        <family val="2"/>
        <scheme val="minor"/>
      </rPr>
      <t xml:space="preserve"> 8 litros, com alça de alumínio de alta resistência.</t>
    </r>
  </si>
  <si>
    <r>
      <t>Bandeja em aço inox,</t>
    </r>
    <r>
      <rPr>
        <sz val="9"/>
        <color indexed="8"/>
        <rFont val="Calibri"/>
        <family val="2"/>
        <scheme val="minor"/>
      </rPr>
      <t xml:space="preserve"> redonda, medida 35 cm de diâmetro.</t>
    </r>
  </si>
  <si>
    <r>
      <t>Bandeja</t>
    </r>
    <r>
      <rPr>
        <sz val="9"/>
        <color indexed="8"/>
        <rFont val="Calibri"/>
        <family val="2"/>
        <scheme val="minor"/>
      </rPr>
      <t xml:space="preserve"> </t>
    </r>
    <r>
      <rPr>
        <b/>
        <sz val="9"/>
        <color indexed="8"/>
        <rFont val="Calibri"/>
        <family val="2"/>
        <scheme val="minor"/>
      </rPr>
      <t>em aço inox,</t>
    </r>
    <r>
      <rPr>
        <sz val="9"/>
        <color indexed="8"/>
        <rFont val="Calibri"/>
        <family val="2"/>
        <scheme val="minor"/>
      </rPr>
      <t xml:space="preserve"> redonda, medida 45 cm de diâmetro.   </t>
    </r>
  </si>
  <si>
    <r>
      <t>Bandeja</t>
    </r>
    <r>
      <rPr>
        <sz val="9"/>
        <color indexed="8"/>
        <rFont val="Calibri"/>
        <family val="2"/>
        <scheme val="minor"/>
      </rPr>
      <t xml:space="preserve"> </t>
    </r>
    <r>
      <rPr>
        <b/>
        <sz val="9"/>
        <color indexed="8"/>
        <rFont val="Calibri"/>
        <family val="2"/>
        <scheme val="minor"/>
      </rPr>
      <t>em aço inox,</t>
    </r>
    <r>
      <rPr>
        <sz val="9"/>
        <color indexed="8"/>
        <rFont val="Calibri"/>
        <family val="2"/>
        <scheme val="minor"/>
      </rPr>
      <t xml:space="preserve"> retangular, medida 48x32 cm.</t>
    </r>
  </si>
  <si>
    <r>
      <t>Bule de aço inox,</t>
    </r>
    <r>
      <rPr>
        <sz val="9"/>
        <color indexed="8"/>
        <rFont val="Calibri"/>
        <family val="2"/>
        <scheme val="minor"/>
      </rPr>
      <t xml:space="preserve"> para café, capacidade de 750 ml a 1 litro</t>
    </r>
  </si>
  <si>
    <r>
      <t>Café em pó,</t>
    </r>
    <r>
      <rPr>
        <sz val="9"/>
        <color indexed="8"/>
        <rFont val="Calibri"/>
        <family val="2"/>
        <scheme val="minor"/>
      </rPr>
      <t xml:space="preserve"> torrado e moído em pó homogêneo, solúvel 100% puro, acondicionado em sistema de alto vácuo. "tijolinho" pacote 500 gramas, reconhecida pelos órgãos de fiscalização e controle contendo selo da ABIC, apresentando informações na embalagem conforme legislação em vigor, identificação tradicional, data de fabricação, data de vencimento, lote de fabricação, CNPJ, modo de conservação e telefone SAC ativo. Validade de 12 meses ou mais a partir da entrega pelo fornecedor. Para fins de cotação, deverá ser usada a medida de 01 (um) quilograma. Marca “Café Export” equivalente ou de melhor qualidade.</t>
    </r>
  </si>
  <si>
    <r>
      <t>Caneca,</t>
    </r>
    <r>
      <rPr>
        <sz val="9"/>
        <color indexed="8"/>
        <rFont val="Calibri"/>
        <family val="2"/>
        <scheme val="minor"/>
      </rPr>
      <t xml:space="preserve"> com borda e bico, com alça em baquelite, com capacidade de 1,8 litro.</t>
    </r>
  </si>
  <si>
    <r>
      <t>Caneca,</t>
    </r>
    <r>
      <rPr>
        <sz val="9"/>
        <color indexed="8"/>
        <rFont val="Calibri"/>
        <family val="2"/>
        <scheme val="minor"/>
      </rPr>
      <t xml:space="preserve"> com borda e bico, com alça em baquelite, com capacidade de 3,2 litros.</t>
    </r>
  </si>
  <si>
    <r>
      <t>Coador de pano flanela,</t>
    </r>
    <r>
      <rPr>
        <sz val="9"/>
        <color indexed="8"/>
        <rFont val="Calibri"/>
        <family val="2"/>
        <scheme val="minor"/>
      </rPr>
      <t xml:space="preserve"> na cor branca, industrial nº 08, medidas aproximadas altura 35 cm e largura de 32   cm.</t>
    </r>
  </si>
  <si>
    <r>
      <t>Colher em aço inox,</t>
    </r>
    <r>
      <rPr>
        <sz val="9"/>
        <color indexed="8"/>
        <rFont val="Calibri"/>
        <family val="2"/>
        <scheme val="minor"/>
      </rPr>
      <t xml:space="preserve"> para café com aproximadamente  9 cm.</t>
    </r>
  </si>
  <si>
    <r>
      <t>Colher em aço inox,</t>
    </r>
    <r>
      <rPr>
        <sz val="9"/>
        <color indexed="8"/>
        <rFont val="Calibri"/>
        <family val="2"/>
        <scheme val="minor"/>
      </rPr>
      <t xml:space="preserve"> para chá com  aproximadamente  12 cm.</t>
    </r>
  </si>
  <si>
    <r>
      <t>Colher em aço inox,</t>
    </r>
    <r>
      <rPr>
        <sz val="9"/>
        <color indexed="8"/>
        <rFont val="Calibri"/>
        <family val="2"/>
        <scheme val="minor"/>
      </rPr>
      <t xml:space="preserve"> tamanho grande  aproximadamente 30 cm a 35 cm, com cabo em madeira ou plástico.</t>
    </r>
  </si>
  <si>
    <r>
      <t>Copo descartável para água 200 ml</t>
    </r>
    <r>
      <rPr>
        <sz val="9"/>
        <color indexed="8"/>
        <rFont val="Calibri"/>
        <family val="2"/>
        <scheme val="minor"/>
      </rPr>
      <t>, em polipropileno, (pp) material atóxico, cristal, corpo frisado, bordas arredondadas, peso mínimo de 2,2 grama de acordo com as normas técnicas da ABNT NBR 14856. Caixa com 25 pacotes acondicionados em sacos plásticos, lacrados, contendo 100 unidades.</t>
    </r>
  </si>
  <si>
    <r>
      <t>Copo descartável para café 50 ml</t>
    </r>
    <r>
      <rPr>
        <sz val="9"/>
        <color indexed="8"/>
        <rFont val="Calibri"/>
        <family val="2"/>
        <scheme val="minor"/>
      </rPr>
      <t>, em polipropileno, (pp) material atóxico, cristal, corpo frisado, bordas arredondadas, peso mínimo de 2,2gr, de acordo com as normas técnicas da ABNT NBR 14856. Caixa com 50 pacotes, acondicionado em sacos plásticos, lacrados, contendo 100 unidades.</t>
    </r>
  </si>
  <si>
    <r>
      <t>Copo meio cristal liso para água</t>
    </r>
    <r>
      <rPr>
        <sz val="9"/>
        <color indexed="8"/>
        <rFont val="Calibri"/>
        <family val="2"/>
        <scheme val="minor"/>
      </rPr>
      <t>, transparente, cilíndrico, com aproximadamente 14 cm de altura, 7 cm de diâmetro de boca, capacidade para 390 ml, fundo reforçado.</t>
    </r>
  </si>
  <si>
    <r>
      <t>Desentupidor de pia</t>
    </r>
    <r>
      <rPr>
        <sz val="9"/>
        <color indexed="8"/>
        <rFont val="Calibri"/>
        <family val="2"/>
        <scheme val="minor"/>
      </rPr>
      <t>, pequeno.</t>
    </r>
  </si>
  <si>
    <r>
      <t>Detergente,</t>
    </r>
    <r>
      <rPr>
        <sz val="9"/>
        <color indexed="8"/>
        <rFont val="Calibri"/>
        <family val="2"/>
        <scheme val="minor"/>
      </rPr>
      <t xml:space="preserve"> neutro </t>
    </r>
    <r>
      <rPr>
        <b/>
        <sz val="9"/>
        <color indexed="8"/>
        <rFont val="Calibri"/>
        <family val="2"/>
        <scheme val="minor"/>
      </rPr>
      <t>100% biodegradável</t>
    </r>
    <r>
      <rPr>
        <sz val="9"/>
        <color indexed="8"/>
        <rFont val="Calibri"/>
        <family val="2"/>
        <scheme val="minor"/>
      </rPr>
      <t xml:space="preserve"> sistema push pull procedimentos de acordo com as  normas regulamentares do Ministério da Saúde, acondicionado em frasco com 500 ml. Marca “Ypê” ou similar</t>
    </r>
  </si>
  <si>
    <r>
      <t>Dispenser poupa copo</t>
    </r>
    <r>
      <rPr>
        <sz val="9"/>
        <color indexed="8"/>
        <rFont val="Calibri"/>
        <family val="2"/>
        <scheme val="minor"/>
      </rPr>
      <t>, para copos descartáveis de água, 200 ml, com dispositivos semiautomático de fácil manuseio que libera apenas um copo de cada vez, em material plástico na cor branca. Capacidade de 100 copos. Marca “Free Cup” ou similar.</t>
    </r>
  </si>
  <si>
    <r>
      <t>Esponja de aço,</t>
    </r>
    <r>
      <rPr>
        <sz val="9"/>
        <color indexed="8"/>
        <rFont val="Calibri"/>
        <family val="2"/>
        <scheme val="minor"/>
      </rPr>
      <t xml:space="preserve"> pacote com 08 unidades, Marca “Bom Bril” ou similar</t>
    </r>
  </si>
  <si>
    <r>
      <t>Esponja tipo dupla face</t>
    </r>
    <r>
      <rPr>
        <sz val="9"/>
        <color indexed="8"/>
        <rFont val="Calibri"/>
        <family val="2"/>
        <scheme val="minor"/>
      </rPr>
      <t>, de espuma e manta abrasiva de alta qualidade. Marca  “Scotch Brite” ou similar.</t>
    </r>
  </si>
  <si>
    <r>
      <t>Forro emborrachado,</t>
    </r>
    <r>
      <rPr>
        <sz val="9"/>
        <color indexed="8"/>
        <rFont val="Calibri"/>
        <family val="2"/>
        <scheme val="minor"/>
      </rPr>
      <t xml:space="preserve"> para bandeja redonda, medindo aproximadamente 30 cm. de diâmetro.</t>
    </r>
  </si>
  <si>
    <r>
      <t>Forro emborrachado,</t>
    </r>
    <r>
      <rPr>
        <sz val="9"/>
        <color indexed="8"/>
        <rFont val="Calibri"/>
        <family val="2"/>
        <scheme val="minor"/>
      </rPr>
      <t xml:space="preserve"> para bandeja redonda, medindo aproximadamente 40 cm de diâmetro.</t>
    </r>
  </si>
  <si>
    <r>
      <t>Forro emborrachado,</t>
    </r>
    <r>
      <rPr>
        <sz val="9"/>
        <color indexed="8"/>
        <rFont val="Calibri"/>
        <family val="2"/>
        <scheme val="minor"/>
      </rPr>
      <t xml:space="preserve"> para bandeja retangular, medido aproximadamente  45x30 cm.</t>
    </r>
  </si>
  <si>
    <r>
      <t>Garrafa térmica tampa de rosca</t>
    </r>
    <r>
      <rPr>
        <sz val="9"/>
        <color indexed="8"/>
        <rFont val="Calibri"/>
        <family val="2"/>
        <scheme val="minor"/>
      </rPr>
      <t xml:space="preserve"> em polipropileno e ampola de vidro formada por duas paredes de vidro espelhados com prata e separadas por alto vácuo, que garanta a temperatura por até 6 horas, com capacidade para 1 litro. </t>
    </r>
  </si>
  <si>
    <r>
      <t>Garrafa térmica tampa de rosca</t>
    </r>
    <r>
      <rPr>
        <sz val="9"/>
        <color indexed="8"/>
        <rFont val="Calibri"/>
        <family val="2"/>
        <scheme val="minor"/>
      </rPr>
      <t xml:space="preserve"> em polipropileno e ampola de vidro formada por duas paredes de vidro espelhados com prata e separadas por alto vácuo, que garanta a temperatura por até 6 horas, com capacidade para 0,5 litros.</t>
    </r>
  </si>
  <si>
    <r>
      <t>Garrafa térmica</t>
    </r>
    <r>
      <rPr>
        <sz val="9"/>
        <color indexed="8"/>
        <rFont val="Calibri"/>
        <family val="2"/>
        <scheme val="minor"/>
      </rPr>
      <t xml:space="preserve"> </t>
    </r>
    <r>
      <rPr>
        <b/>
        <sz val="9"/>
        <color indexed="8"/>
        <rFont val="Calibri"/>
        <family val="2"/>
        <scheme val="minor"/>
      </rPr>
      <t>tampa de pressão</t>
    </r>
    <r>
      <rPr>
        <sz val="9"/>
        <color indexed="8"/>
        <rFont val="Calibri"/>
        <family val="2"/>
        <scheme val="minor"/>
      </rPr>
      <t xml:space="preserve"> em polipropileno e ampola de vidro formada por duas paredes de vidro espelhados com prata e separadas por alto vácuo, que garanta a temperatura por até 6 horas, com capacidade para 1 litro. </t>
    </r>
  </si>
  <si>
    <r>
      <t xml:space="preserve">Garrafa térmica tampa de pressão </t>
    </r>
    <r>
      <rPr>
        <sz val="9"/>
        <color indexed="8"/>
        <rFont val="Calibri"/>
        <family val="2"/>
        <scheme val="minor"/>
      </rPr>
      <t>em polipropileno e ampola de vidro formada por duas paredes de vidro espelhados com prata e separadas por alto vácuo, que garanta a temperatura por até 6 horas, com capacidade para 0,5 litros.</t>
    </r>
  </si>
  <si>
    <r>
      <t>Jarra de vidro</t>
    </r>
    <r>
      <rPr>
        <sz val="9"/>
        <color indexed="8"/>
        <rFont val="Calibri"/>
        <family val="2"/>
        <scheme val="minor"/>
      </rPr>
      <t xml:space="preserve"> </t>
    </r>
    <r>
      <rPr>
        <b/>
        <sz val="9"/>
        <color indexed="8"/>
        <rFont val="Calibri"/>
        <family val="2"/>
        <scheme val="minor"/>
      </rPr>
      <t xml:space="preserve">com tampa, </t>
    </r>
    <r>
      <rPr>
        <sz val="9"/>
        <color indexed="8"/>
        <rFont val="Calibri"/>
        <family val="2"/>
        <scheme val="minor"/>
      </rPr>
      <t>com alça, liso transparente para água, com capacidade  para 1,6 litros. Marca “Luminac Octime” ou similar</t>
    </r>
  </si>
  <si>
    <r>
      <t>Jarra em inox,</t>
    </r>
    <r>
      <rPr>
        <sz val="9"/>
        <color indexed="8"/>
        <rFont val="Calibri"/>
        <family val="2"/>
        <scheme val="minor"/>
      </rPr>
      <t xml:space="preserve"> com tampa articulada, capacidade 2 litros, com alça. </t>
    </r>
  </si>
  <si>
    <r>
      <t xml:space="preserve">Limpador instantâneo multiuso, </t>
    </r>
    <r>
      <rPr>
        <sz val="9"/>
        <color indexed="8"/>
        <rFont val="Calibri"/>
        <family val="2"/>
        <scheme val="minor"/>
      </rPr>
      <t>frasco plástico com 500 ml, aromas diversos. Marca “Veja” ou similar</t>
    </r>
  </si>
  <si>
    <r>
      <t xml:space="preserve">Lixeira plástica, </t>
    </r>
    <r>
      <rPr>
        <sz val="9"/>
        <color indexed="8"/>
        <rFont val="Calibri"/>
        <family val="2"/>
        <scheme val="minor"/>
      </rPr>
      <t>resistente, capacidade 50 litros, , com tampa acionada por pedal.</t>
    </r>
  </si>
  <si>
    <r>
      <t>Pá com cabo para  coleta de lixo</t>
    </r>
    <r>
      <rPr>
        <sz val="9"/>
        <color indexed="8"/>
        <rFont val="Calibri"/>
        <family val="2"/>
        <scheme val="minor"/>
      </rPr>
      <t>, em plástico polipropileno medida aproximada de 92 cm altura e 30 cm largura e 28 cm profundidade.</t>
    </r>
  </si>
  <si>
    <r>
      <t>Pano de chão</t>
    </r>
    <r>
      <rPr>
        <sz val="9"/>
        <color indexed="8"/>
        <rFont val="Calibri"/>
        <family val="2"/>
        <scheme val="minor"/>
      </rPr>
      <t>, tipo</t>
    </r>
    <r>
      <rPr>
        <b/>
        <sz val="9"/>
        <color indexed="8"/>
        <rFont val="Calibri"/>
        <family val="2"/>
        <scheme val="minor"/>
      </rPr>
      <t xml:space="preserve"> </t>
    </r>
    <r>
      <rPr>
        <sz val="9"/>
        <color indexed="8"/>
        <rFont val="Calibri"/>
        <family val="2"/>
        <scheme val="minor"/>
      </rPr>
      <t>saco, alvejado, duplo, com barrado</t>
    </r>
    <r>
      <rPr>
        <b/>
        <sz val="9"/>
        <color indexed="8"/>
        <rFont val="Calibri"/>
        <family val="2"/>
        <scheme val="minor"/>
      </rPr>
      <t xml:space="preserve"> </t>
    </r>
    <r>
      <rPr>
        <sz val="9"/>
        <color indexed="8"/>
        <rFont val="Calibri"/>
        <family val="2"/>
        <scheme val="minor"/>
      </rPr>
      <t>feito, 100% algodão etiqueta de identificação, dimensões mínimas: 400 x 700 mm. Primeira qualidade.</t>
    </r>
  </si>
  <si>
    <r>
      <t>Pano de pia</t>
    </r>
    <r>
      <rPr>
        <sz val="9"/>
        <color indexed="8"/>
        <rFont val="Calibri"/>
        <family val="2"/>
        <scheme val="minor"/>
      </rPr>
      <t xml:space="preserve">, flanela para limpeza na cor branca , nas medidas de 300 mm x 400 mm, overlocadas nas bordas, acondicionadas em embalagem plástica, com etiqueta de identificação contendo composição, medidas e demais informações do produto. Primeira qualidade. </t>
    </r>
  </si>
  <si>
    <r>
      <t>Pano de prato</t>
    </r>
    <r>
      <rPr>
        <sz val="9"/>
        <color indexed="8"/>
        <rFont val="Calibri"/>
        <family val="2"/>
        <scheme val="minor"/>
      </rPr>
      <t>, para enxugar pratos em tecido liso 100% algodão, tamanho mínimo: 50 x 30 cm, com acabamento nas bordas. Primeira qualidade.</t>
    </r>
  </si>
  <si>
    <r>
      <t>Polidor de metais,</t>
    </r>
    <r>
      <rPr>
        <sz val="9"/>
        <color indexed="8"/>
        <rFont val="Calibri"/>
        <family val="2"/>
        <scheme val="minor"/>
      </rPr>
      <t xml:space="preserve"> para prataria e metais brancos conteúdo 200 ml. marca “Brasso”ou similar.</t>
    </r>
  </si>
  <si>
    <r>
      <t>Porta mantimento,</t>
    </r>
    <r>
      <rPr>
        <sz val="9"/>
        <color indexed="8"/>
        <rFont val="Calibri"/>
        <family val="2"/>
        <scheme val="minor"/>
      </rPr>
      <t xml:space="preserve"> em alumínio com capacidade para 5 litros.</t>
    </r>
  </si>
  <si>
    <r>
      <t>Porta sabão e esponja</t>
    </r>
    <r>
      <rPr>
        <sz val="9"/>
        <color indexed="8"/>
        <rFont val="Calibri"/>
        <family val="2"/>
        <scheme val="minor"/>
      </rPr>
      <t>, em plástico polipropileno.</t>
    </r>
  </si>
  <si>
    <r>
      <t>Rodo de metal</t>
    </r>
    <r>
      <rPr>
        <sz val="9"/>
        <color indexed="8"/>
        <rFont val="Calibri"/>
        <family val="2"/>
        <scheme val="minor"/>
      </rPr>
      <t>, borracha siliconada  dupla 40 cm. Cabo plastificado e pendurico.</t>
    </r>
  </si>
  <si>
    <r>
      <t>Sabão em barra,</t>
    </r>
    <r>
      <rPr>
        <sz val="9"/>
        <color indexed="8"/>
        <rFont val="Calibri"/>
        <family val="2"/>
        <scheme val="minor"/>
      </rPr>
      <t xml:space="preserve"> de 200 gr., a base de sódio,</t>
    </r>
    <r>
      <rPr>
        <b/>
        <sz val="9"/>
        <color indexed="8"/>
        <rFont val="Calibri"/>
        <family val="2"/>
        <scheme val="minor"/>
      </rPr>
      <t xml:space="preserve"> </t>
    </r>
    <r>
      <rPr>
        <sz val="9"/>
        <color indexed="8"/>
        <rFont val="Calibri"/>
        <family val="2"/>
        <scheme val="minor"/>
      </rPr>
      <t>glicerina, cloreto de sódio, ácido</t>
    </r>
    <r>
      <rPr>
        <b/>
        <sz val="9"/>
        <color indexed="8"/>
        <rFont val="Calibri"/>
        <family val="2"/>
        <scheme val="minor"/>
      </rPr>
      <t xml:space="preserve"> </t>
    </r>
    <r>
      <rPr>
        <sz val="9"/>
        <color indexed="8"/>
        <rFont val="Calibri"/>
        <family val="2"/>
        <scheme val="minor"/>
      </rPr>
      <t>etileno hidroxidifosfônico, carbonato</t>
    </r>
    <r>
      <rPr>
        <b/>
        <sz val="9"/>
        <color indexed="8"/>
        <rFont val="Calibri"/>
        <family val="2"/>
        <scheme val="minor"/>
      </rPr>
      <t xml:space="preserve"> </t>
    </r>
    <r>
      <rPr>
        <sz val="9"/>
        <color indexed="8"/>
        <rFont val="Calibri"/>
        <family val="2"/>
        <scheme val="minor"/>
      </rPr>
      <t>de sódio, carbonato de cálcio, sulfato</t>
    </r>
    <r>
      <rPr>
        <b/>
        <sz val="9"/>
        <color indexed="8"/>
        <rFont val="Calibri"/>
        <family val="2"/>
        <scheme val="minor"/>
      </rPr>
      <t xml:space="preserve"> </t>
    </r>
    <r>
      <rPr>
        <sz val="9"/>
        <color indexed="8"/>
        <rFont val="Calibri"/>
        <family val="2"/>
        <scheme val="minor"/>
      </rPr>
      <t>de sódio, corante e água, neutro. Marca “Ypê”ou similar</t>
    </r>
  </si>
  <si>
    <r>
      <t>Sabão em pó,</t>
    </r>
    <r>
      <rPr>
        <sz val="9"/>
        <color indexed="8"/>
        <rFont val="Calibri"/>
        <family val="2"/>
        <scheme val="minor"/>
      </rPr>
      <t xml:space="preserve">  multiação de l Kg, com detergente para composto de tensoativo aniônico, coadjuvantes, sinergista, branqueador óptico, tamponantes, corante, essência, alquil benzeno sulfonato de sódio. Marca “Omo Multiação”ou similar</t>
    </r>
  </si>
  <si>
    <r>
      <t>Saco de lixo,</t>
    </r>
    <r>
      <rPr>
        <sz val="9"/>
        <color indexed="8"/>
        <rFont val="Calibri"/>
        <family val="2"/>
        <scheme val="minor"/>
      </rPr>
      <t xml:space="preserve"> para uso doméstico de polietileno, preto reforçado, especificações de acordo com a NBR 9191, com capacidade para  100L , pacote contendo 100 unidades. </t>
    </r>
  </si>
  <si>
    <r>
      <t>Saponáceo cremoso,</t>
    </r>
    <r>
      <rPr>
        <sz val="9"/>
        <color indexed="8"/>
        <rFont val="Calibri"/>
        <family val="2"/>
        <scheme val="minor"/>
      </rPr>
      <t xml:space="preserve"> 300 ml de pinho Marca “Sapólio Radium”ou similar.</t>
    </r>
  </si>
  <si>
    <r>
      <t>Vassoura de pelo,</t>
    </r>
    <r>
      <rPr>
        <sz val="9"/>
        <color indexed="8"/>
        <rFont val="Calibri"/>
        <family val="2"/>
        <scheme val="minor"/>
      </rPr>
      <t xml:space="preserve"> de animal sintética com 30 cm, cabo 1,20 m plastificado e pendurico.</t>
    </r>
  </si>
  <si>
    <r>
      <t xml:space="preserve">Vassoura Plastiçável, </t>
    </r>
    <r>
      <rPr>
        <sz val="9"/>
        <color indexed="8"/>
        <rFont val="Calibri"/>
        <family val="2"/>
        <scheme val="minor"/>
      </rPr>
      <t>prensada, 30 cm, cerda de naylon.</t>
    </r>
    <r>
      <rPr>
        <b/>
        <sz val="9"/>
        <color indexed="8"/>
        <rFont val="Calibri"/>
        <family val="2"/>
        <scheme val="minor"/>
      </rPr>
      <t xml:space="preserve"> </t>
    </r>
    <r>
      <rPr>
        <sz val="9"/>
        <color indexed="8"/>
        <rFont val="Calibri"/>
        <family val="2"/>
        <scheme val="minor"/>
      </rPr>
      <t xml:space="preserve">Cabo de madeira 1,20 m plastificado e pendurico. </t>
    </r>
  </si>
  <si>
    <r>
      <t>Xícara com pires para café</t>
    </r>
    <r>
      <rPr>
        <sz val="9"/>
        <color indexed="8"/>
        <rFont val="Calibri"/>
        <family val="2"/>
        <scheme val="minor"/>
      </rPr>
      <t>, com capacidade de 50 ml, em porcelana de 1ª linha branca.</t>
    </r>
  </si>
  <si>
    <r>
      <t>Xícara com pires para chá</t>
    </r>
    <r>
      <rPr>
        <sz val="9"/>
        <color indexed="8"/>
        <rFont val="Calibri"/>
        <family val="2"/>
        <scheme val="minor"/>
      </rPr>
      <t>, com capacidade de 150 ml, em porcelana de 1ª linha branca.</t>
    </r>
  </si>
  <si>
    <t>VALOR INICIAL 2016</t>
  </si>
  <si>
    <t xml:space="preserve"> REPACTUADO 2017</t>
  </si>
  <si>
    <t xml:space="preserve"> REPACTUADO 2018</t>
  </si>
  <si>
    <t>Para 01 de janeiro a 31 de agosto/2018</t>
  </si>
  <si>
    <t>Para 01 a 05 de Setembro/2018</t>
  </si>
  <si>
    <t>MEMÓRIA DIFERENÇAS - Repactuação a partir de 01.JANEIRO.2018</t>
  </si>
  <si>
    <t>Quant./</t>
  </si>
  <si>
    <t>TOTAL GERAL MENSAL (mão de obra)</t>
  </si>
  <si>
    <t>TOTAL GERAL ANUAL (mão de obra)</t>
  </si>
  <si>
    <t>2º Termo Aditivo - CCT 2017/2017  - de 01/01/2017 até 31/12/2017</t>
  </si>
  <si>
    <t>1º Termo de Apostilamento - CCT 2018/2018  - de 01/01/2018 até 05/09/2018</t>
  </si>
  <si>
    <t>Mantido 10% (3/30 avos)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</si>
</sst>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R$&quot;* #,##0.00_-;\-&quot;R$&quot;* #,##0.00_-;_-&quot;R$&quot;* &quot;-&quot;??_-;_-@_-"/>
    <numFmt numFmtId="164" formatCode="_-&quot;R$&quot;\ * #,##0.00_-;\-&quot;R$&quot;\ * #,##0.00_-;_-&quot;R$&quot;\ * &quot;-&quot;??_-;_-@_-"/>
    <numFmt numFmtId="165" formatCode="0.000%"/>
    <numFmt numFmtId="166" formatCode="_-[$R$-416]\ * #,##0.00_-;\-[$R$-416]\ * #,##0.00_-;_-[$R$-416]\ * &quot;-&quot;??_-;_-@_-"/>
    <numFmt numFmtId="167" formatCode="#,##0_ ;\-#,##0\ "/>
    <numFmt numFmtId="168" formatCode="&quot;R$&quot;\ #,##0.00"/>
    <numFmt numFmtId="169" formatCode="&quot;R$&quot;#,##0.00"/>
  </numFmts>
  <fonts count="59" x14ac:knownFonts="1">
    <font>
      <sz val="11"/>
      <color theme="1"/>
      <name val="Calibri"/>
      <family val="2"/>
      <scheme val="minor"/>
    </font>
    <font>
      <sz val="11"/>
      <color indexed="8"/>
      <name val="Calibri"/>
      <family val="2"/>
    </font>
    <font>
      <sz val="11.5"/>
      <color indexed="8"/>
      <name val="Times New Roman"/>
      <family val="1"/>
    </font>
    <font>
      <b/>
      <sz val="10"/>
      <name val="Arial"/>
      <family val="2"/>
    </font>
    <font>
      <sz val="10"/>
      <name val="Arial"/>
      <family val="2"/>
    </font>
    <font>
      <sz val="11"/>
      <name val="Arial Narrow"/>
      <family val="2"/>
    </font>
    <font>
      <b/>
      <sz val="11"/>
      <name val="Arial Narrow"/>
      <family val="2"/>
    </font>
    <font>
      <b/>
      <u/>
      <sz val="11"/>
      <name val="Arial Narrow"/>
      <family val="2"/>
    </font>
    <font>
      <sz val="12"/>
      <name val="Arial Narrow"/>
      <family val="2"/>
    </font>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10"/>
      <color theme="1"/>
      <name val="Arial"/>
      <family val="2"/>
    </font>
    <font>
      <sz val="11"/>
      <color theme="1"/>
      <name val="Times New Roman"/>
      <family val="1"/>
    </font>
    <font>
      <sz val="9"/>
      <color rgb="FF000000"/>
      <name val="Times New Roman"/>
      <family val="1"/>
    </font>
    <font>
      <sz val="10"/>
      <color theme="1"/>
      <name val="Times New Roman"/>
      <family val="1"/>
    </font>
    <font>
      <sz val="18"/>
      <color rgb="FFFFFF00"/>
      <name val="Arial Narrow"/>
      <family val="2"/>
    </font>
    <font>
      <sz val="8"/>
      <color theme="1"/>
      <name val="Times New Roman"/>
      <family val="1"/>
    </font>
    <font>
      <b/>
      <sz val="11"/>
      <color rgb="FFFF0000"/>
      <name val="Calibri"/>
      <family val="2"/>
      <scheme val="minor"/>
    </font>
    <font>
      <b/>
      <sz val="12"/>
      <color theme="1"/>
      <name val="Calibri"/>
      <family val="2"/>
      <scheme val="minor"/>
    </font>
    <font>
      <b/>
      <sz val="10"/>
      <color theme="1"/>
      <name val="Times New Roman"/>
      <family val="1"/>
    </font>
    <font>
      <sz val="11"/>
      <color indexed="8"/>
      <name val="Calibri"/>
      <family val="2"/>
      <scheme val="minor"/>
    </font>
    <font>
      <b/>
      <sz val="11"/>
      <color indexed="8"/>
      <name val="Calibri"/>
      <family val="2"/>
      <scheme val="minor"/>
    </font>
    <font>
      <sz val="8"/>
      <color indexed="8"/>
      <name val="Calibri"/>
      <family val="2"/>
      <scheme val="minor"/>
    </font>
    <font>
      <b/>
      <sz val="8"/>
      <color indexed="8"/>
      <name val="Calibri"/>
      <family val="2"/>
      <scheme val="minor"/>
    </font>
    <font>
      <sz val="9"/>
      <color indexed="8"/>
      <name val="Calibri"/>
      <family val="2"/>
      <scheme val="minor"/>
    </font>
    <font>
      <b/>
      <sz val="9"/>
      <color indexed="8"/>
      <name val="Calibri"/>
      <family val="2"/>
      <scheme val="minor"/>
    </font>
    <font>
      <b/>
      <sz val="10"/>
      <color indexed="8"/>
      <name val="Calibri"/>
      <family val="2"/>
      <scheme val="minor"/>
    </font>
    <font>
      <sz val="10"/>
      <color indexed="8"/>
      <name val="Calibri"/>
      <family val="2"/>
      <scheme val="minor"/>
    </font>
    <font>
      <sz val="9"/>
      <color theme="1"/>
      <name val="Calibri"/>
      <family val="2"/>
      <scheme val="minor"/>
    </font>
    <font>
      <sz val="10"/>
      <color theme="1"/>
      <name val="Calibri"/>
      <family val="2"/>
      <scheme val="minor"/>
    </font>
    <font>
      <sz val="10"/>
      <color indexed="56"/>
      <name val="Calibri"/>
      <family val="2"/>
      <scheme val="minor"/>
    </font>
    <font>
      <sz val="10"/>
      <color rgb="FFFF0000"/>
      <name val="Calibri"/>
      <family val="2"/>
      <scheme val="minor"/>
    </font>
    <font>
      <b/>
      <sz val="10"/>
      <color rgb="FFFF0000"/>
      <name val="Calibri"/>
      <family val="2"/>
      <scheme val="minor"/>
    </font>
    <font>
      <b/>
      <sz val="10"/>
      <name val="Calibri"/>
      <family val="2"/>
      <scheme val="minor"/>
    </font>
    <font>
      <b/>
      <sz val="8.5"/>
      <color indexed="8"/>
      <name val="Calibri"/>
      <family val="2"/>
      <scheme val="minor"/>
    </font>
    <font>
      <sz val="10"/>
      <name val="Calibri"/>
      <family val="2"/>
      <scheme val="minor"/>
    </font>
    <font>
      <b/>
      <sz val="9"/>
      <color theme="1"/>
      <name val="Calibri"/>
      <family val="2"/>
      <scheme val="minor"/>
    </font>
    <font>
      <b/>
      <sz val="10"/>
      <color rgb="FFFF0000"/>
      <name val="Times New Roman"/>
      <family val="1"/>
    </font>
    <font>
      <b/>
      <sz val="9"/>
      <color rgb="FF000000"/>
      <name val="Calibri"/>
      <family val="2"/>
      <scheme val="minor"/>
    </font>
    <font>
      <sz val="9"/>
      <color rgb="FF000000"/>
      <name val="Calibri"/>
      <family val="2"/>
      <scheme val="minor"/>
    </font>
    <font>
      <b/>
      <u val="singleAccounting"/>
      <sz val="9"/>
      <color rgb="FF000000"/>
      <name val="Calibri"/>
      <family val="2"/>
      <scheme val="minor"/>
    </font>
    <font>
      <b/>
      <sz val="9"/>
      <name val="Calibri"/>
      <family val="2"/>
      <scheme val="minor"/>
    </font>
    <font>
      <b/>
      <u val="singleAccounting"/>
      <sz val="9"/>
      <name val="Calibri"/>
      <family val="2"/>
      <scheme val="minor"/>
    </font>
    <font>
      <sz val="8.5"/>
      <color rgb="FF000000"/>
      <name val="Calibri"/>
      <family val="2"/>
      <scheme val="minor"/>
    </font>
    <font>
      <b/>
      <u/>
      <sz val="8.5"/>
      <color indexed="8"/>
      <name val="Calibri"/>
      <family val="2"/>
      <scheme val="minor"/>
    </font>
    <font>
      <sz val="8.5"/>
      <color indexed="8"/>
      <name val="Calibri"/>
      <family val="2"/>
      <scheme val="minor"/>
    </font>
    <font>
      <i/>
      <sz val="8.5"/>
      <color rgb="FF000000"/>
      <name val="Calibri"/>
      <family val="2"/>
      <scheme val="minor"/>
    </font>
    <font>
      <b/>
      <i/>
      <u/>
      <sz val="8.5"/>
      <color indexed="8"/>
      <name val="Calibri"/>
      <family val="2"/>
      <scheme val="minor"/>
    </font>
    <font>
      <i/>
      <sz val="8.5"/>
      <color indexed="8"/>
      <name val="Calibri"/>
      <family val="2"/>
      <scheme val="minor"/>
    </font>
    <font>
      <b/>
      <u/>
      <sz val="11"/>
      <color theme="1"/>
      <name val="Calibri"/>
      <family val="2"/>
      <scheme val="minor"/>
    </font>
    <font>
      <b/>
      <u val="singleAccounting"/>
      <sz val="9"/>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Times New Roman"/>
      <family val="1"/>
    </font>
    <font>
      <b/>
      <sz val="9"/>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99"/>
        <bgColor indexed="64"/>
      </patternFill>
    </fill>
  </fills>
  <borders count="54">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cellStyleXfs>
  <cellXfs count="442">
    <xf numFmtId="0" fontId="0" fillId="0" borderId="0" xfId="0"/>
    <xf numFmtId="10" fontId="2" fillId="0" borderId="1" xfId="2" applyNumberFormat="1" applyFont="1" applyBorder="1" applyAlignment="1">
      <alignment horizontal="center" vertical="center" wrapText="1"/>
    </xf>
    <xf numFmtId="164" fontId="0" fillId="0" borderId="0" xfId="0" applyNumberFormat="1"/>
    <xf numFmtId="0" fontId="0" fillId="2" borderId="0" xfId="0" applyFill="1"/>
    <xf numFmtId="164" fontId="10" fillId="0" borderId="5" xfId="0" applyNumberFormat="1" applyFont="1" applyBorder="1"/>
    <xf numFmtId="0" fontId="0" fillId="2" borderId="0" xfId="0" applyFont="1" applyFill="1"/>
    <xf numFmtId="0" fontId="0" fillId="2" borderId="0" xfId="0" applyFill="1" applyBorder="1"/>
    <xf numFmtId="165" fontId="2" fillId="0" borderId="1" xfId="2" applyNumberFormat="1" applyFont="1" applyBorder="1" applyAlignment="1">
      <alignment horizontal="center" vertical="center" wrapText="1"/>
    </xf>
    <xf numFmtId="0" fontId="12" fillId="0" borderId="0" xfId="0" applyFont="1" applyAlignment="1">
      <alignment vertical="center"/>
    </xf>
    <xf numFmtId="0" fontId="14" fillId="0" borderId="0" xfId="0" applyFont="1" applyAlignment="1">
      <alignment vertical="center"/>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164" fontId="13" fillId="0" borderId="0" xfId="1" applyFont="1" applyFill="1" applyBorder="1" applyAlignment="1">
      <alignment vertical="center" wrapText="1"/>
    </xf>
    <xf numFmtId="164" fontId="13" fillId="0" borderId="0" xfId="1" applyNumberFormat="1" applyFont="1" applyFill="1" applyBorder="1" applyAlignment="1">
      <alignment vertical="center" wrapText="1"/>
    </xf>
    <xf numFmtId="164" fontId="4" fillId="0" borderId="0" xfId="0" applyNumberFormat="1" applyFont="1" applyFill="1" applyBorder="1" applyAlignment="1">
      <alignmen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164" fontId="3" fillId="0" borderId="0" xfId="0" applyNumberFormat="1" applyFont="1" applyFill="1" applyBorder="1" applyAlignment="1">
      <alignment vertical="center"/>
    </xf>
    <xf numFmtId="0" fontId="5" fillId="2" borderId="0" xfId="0" applyFont="1" applyFill="1" applyAlignment="1">
      <alignment horizontal="justify" vertical="center" wrapText="1"/>
    </xf>
    <xf numFmtId="0" fontId="15" fillId="4" borderId="0" xfId="0" applyFont="1" applyFill="1" applyAlignment="1">
      <alignment horizontal="center" vertical="center" wrapText="1"/>
    </xf>
    <xf numFmtId="164" fontId="9" fillId="0" borderId="0" xfId="1" applyFont="1" applyBorder="1"/>
    <xf numFmtId="0" fontId="0" fillId="0" borderId="0" xfId="0" applyBorder="1"/>
    <xf numFmtId="0" fontId="7" fillId="2" borderId="0" xfId="0" applyFont="1" applyFill="1" applyBorder="1" applyAlignment="1">
      <alignment horizontal="justify" vertical="center"/>
    </xf>
    <xf numFmtId="0" fontId="5" fillId="2" borderId="0" xfId="0" applyFont="1" applyFill="1" applyAlignment="1">
      <alignment horizontal="justify" vertical="center"/>
    </xf>
    <xf numFmtId="0" fontId="5" fillId="2" borderId="0" xfId="0" applyFont="1" applyFill="1" applyBorder="1" applyAlignment="1">
      <alignment horizontal="justify" vertical="center"/>
    </xf>
    <xf numFmtId="0" fontId="5" fillId="2" borderId="0" xfId="0" applyFont="1" applyFill="1" applyBorder="1" applyAlignment="1">
      <alignment horizontal="center" vertical="center"/>
    </xf>
    <xf numFmtId="0" fontId="5" fillId="2" borderId="4" xfId="0" applyFont="1" applyFill="1" applyBorder="1" applyAlignment="1">
      <alignment horizontal="justify" vertical="center"/>
    </xf>
    <xf numFmtId="0" fontId="5" fillId="2" borderId="4" xfId="0" applyNumberFormat="1" applyFont="1" applyFill="1" applyBorder="1" applyAlignment="1">
      <alignment horizontal="justify" vertical="center" wrapText="1"/>
    </xf>
    <xf numFmtId="10" fontId="5" fillId="2" borderId="4" xfId="0" applyNumberFormat="1" applyFont="1" applyFill="1" applyBorder="1" applyAlignment="1">
      <alignment horizontal="center" vertical="center"/>
    </xf>
    <xf numFmtId="0" fontId="5" fillId="2" borderId="0" xfId="0" applyNumberFormat="1" applyFont="1" applyFill="1" applyBorder="1" applyAlignment="1">
      <alignment horizontal="justify" vertical="center" wrapText="1"/>
    </xf>
    <xf numFmtId="0" fontId="5" fillId="2" borderId="16" xfId="0" applyFont="1" applyFill="1" applyBorder="1" applyAlignment="1">
      <alignment horizontal="justify" vertical="center"/>
    </xf>
    <xf numFmtId="0" fontId="8" fillId="2" borderId="0" xfId="0" applyFont="1" applyFill="1" applyAlignment="1">
      <alignment horizontal="justify" vertical="center"/>
    </xf>
    <xf numFmtId="0" fontId="8" fillId="2" borderId="0" xfId="0" applyFont="1" applyFill="1" applyAlignment="1">
      <alignment horizontal="justify" vertical="center" wrapText="1"/>
    </xf>
    <xf numFmtId="10" fontId="5" fillId="2" borderId="4" xfId="0" applyNumberFormat="1" applyFont="1" applyFill="1" applyBorder="1" applyAlignment="1">
      <alignment horizontal="justify" vertical="top" wrapText="1"/>
    </xf>
    <xf numFmtId="10" fontId="5" fillId="2" borderId="0" xfId="0" applyNumberFormat="1" applyFont="1" applyFill="1" applyBorder="1" applyAlignment="1">
      <alignment horizontal="justify" vertical="center" wrapText="1"/>
    </xf>
    <xf numFmtId="10" fontId="6" fillId="2" borderId="4" xfId="0" applyNumberFormat="1" applyFont="1" applyFill="1" applyBorder="1" applyAlignment="1">
      <alignment horizontal="center" vertical="center" wrapText="1"/>
    </xf>
    <xf numFmtId="0" fontId="6" fillId="2" borderId="4" xfId="0" applyNumberFormat="1" applyFont="1" applyFill="1" applyBorder="1" applyAlignment="1">
      <alignment horizontal="justify" vertical="center" wrapText="1"/>
    </xf>
    <xf numFmtId="0" fontId="6" fillId="2" borderId="0" xfId="0" applyNumberFormat="1" applyFont="1" applyFill="1" applyBorder="1" applyAlignment="1">
      <alignment horizontal="justify" vertical="center" wrapText="1"/>
    </xf>
    <xf numFmtId="0" fontId="5" fillId="2" borderId="4" xfId="0" applyFont="1" applyFill="1" applyBorder="1" applyAlignment="1">
      <alignment horizontal="justify" vertical="center" wrapText="1"/>
    </xf>
    <xf numFmtId="10" fontId="5" fillId="2" borderId="4" xfId="0" applyNumberFormat="1" applyFont="1" applyFill="1" applyBorder="1" applyAlignment="1">
      <alignment horizontal="justify" vertical="center" wrapText="1"/>
    </xf>
    <xf numFmtId="10" fontId="6" fillId="0" borderId="4" xfId="0" applyNumberFormat="1" applyFont="1" applyFill="1" applyBorder="1" applyAlignment="1">
      <alignment horizontal="center" vertical="center"/>
    </xf>
    <xf numFmtId="10" fontId="5" fillId="2" borderId="0" xfId="0" applyNumberFormat="1" applyFont="1" applyFill="1" applyAlignment="1">
      <alignment horizontal="justify" vertical="center"/>
    </xf>
    <xf numFmtId="2" fontId="5" fillId="2" borderId="0" xfId="0" applyNumberFormat="1" applyFont="1" applyFill="1" applyBorder="1" applyAlignment="1">
      <alignment horizontal="justify" vertical="center"/>
    </xf>
    <xf numFmtId="0" fontId="6" fillId="2" borderId="0" xfId="0" applyFont="1" applyFill="1" applyBorder="1" applyAlignment="1">
      <alignment horizontal="justify" vertical="center" wrapText="1"/>
    </xf>
    <xf numFmtId="10" fontId="5" fillId="2" borderId="4" xfId="0" applyNumberFormat="1" applyFont="1" applyFill="1" applyBorder="1" applyAlignment="1">
      <alignment horizontal="justify" vertical="justify" wrapText="1"/>
    </xf>
    <xf numFmtId="9" fontId="5" fillId="2" borderId="0" xfId="0" applyNumberFormat="1" applyFont="1" applyFill="1" applyBorder="1" applyAlignment="1">
      <alignment horizontal="justify" vertical="center"/>
    </xf>
    <xf numFmtId="0" fontId="5" fillId="0" borderId="4" xfId="0" applyFont="1" applyFill="1" applyBorder="1" applyAlignment="1">
      <alignment horizontal="justify" vertical="center" wrapText="1"/>
    </xf>
    <xf numFmtId="10" fontId="5" fillId="2" borderId="0" xfId="0" applyNumberFormat="1" applyFont="1" applyFill="1" applyBorder="1" applyAlignment="1">
      <alignment horizontal="justify" vertical="center"/>
    </xf>
    <xf numFmtId="0" fontId="5" fillId="2" borderId="0" xfId="0" applyFont="1" applyFill="1" applyBorder="1" applyAlignment="1">
      <alignment horizontal="justify" vertical="center" wrapText="1"/>
    </xf>
    <xf numFmtId="10" fontId="6" fillId="2" borderId="4" xfId="0"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0" fontId="6" fillId="2" borderId="0" xfId="0" applyFont="1" applyFill="1" applyBorder="1" applyAlignment="1">
      <alignment horizontal="justify" vertical="center"/>
    </xf>
    <xf numFmtId="10" fontId="6" fillId="2" borderId="0" xfId="0" applyNumberFormat="1" applyFont="1" applyFill="1" applyBorder="1" applyAlignment="1">
      <alignment horizontal="center" vertical="center"/>
    </xf>
    <xf numFmtId="0" fontId="5" fillId="2" borderId="0" xfId="0" applyFont="1" applyFill="1" applyAlignment="1">
      <alignment horizontal="center" vertical="center"/>
    </xf>
    <xf numFmtId="10" fontId="18" fillId="2" borderId="0" xfId="0" applyNumberFormat="1" applyFont="1" applyFill="1" applyAlignment="1">
      <alignment horizontal="justify" vertical="center"/>
    </xf>
    <xf numFmtId="10" fontId="18" fillId="3" borderId="0" xfId="0" applyNumberFormat="1" applyFont="1" applyFill="1" applyAlignment="1">
      <alignment horizontal="justify" vertical="center"/>
    </xf>
    <xf numFmtId="10" fontId="5" fillId="6" borderId="4" xfId="0" applyNumberFormat="1" applyFont="1" applyFill="1" applyBorder="1" applyAlignment="1">
      <alignment horizontal="center" vertical="center"/>
    </xf>
    <xf numFmtId="10" fontId="5" fillId="7" borderId="4" xfId="0" applyNumberFormat="1" applyFont="1" applyFill="1" applyBorder="1" applyAlignment="1">
      <alignment horizontal="center" vertical="center"/>
    </xf>
    <xf numFmtId="10" fontId="5" fillId="7" borderId="4" xfId="3" applyNumberFormat="1" applyFont="1" applyFill="1" applyBorder="1" applyAlignment="1">
      <alignment horizontal="center" vertical="center"/>
    </xf>
    <xf numFmtId="165" fontId="5" fillId="7" borderId="4" xfId="0" applyNumberFormat="1" applyFont="1" applyFill="1" applyBorder="1" applyAlignment="1">
      <alignment horizontal="center" vertical="center"/>
    </xf>
    <xf numFmtId="164" fontId="12" fillId="0" borderId="0" xfId="0" applyNumberFormat="1" applyFont="1" applyAlignment="1">
      <alignment vertical="center"/>
    </xf>
    <xf numFmtId="164" fontId="15" fillId="4" borderId="0" xfId="0" applyNumberFormat="1" applyFont="1" applyFill="1" applyAlignment="1">
      <alignment horizontal="center" vertical="center" wrapText="1"/>
    </xf>
    <xf numFmtId="164" fontId="19" fillId="4" borderId="0" xfId="1" applyFont="1" applyFill="1" applyAlignment="1">
      <alignment horizontal="center" vertical="center" wrapText="1"/>
    </xf>
    <xf numFmtId="0" fontId="0" fillId="0" borderId="0" xfId="0" applyBorder="1" applyAlignment="1">
      <alignment horizontal="center"/>
    </xf>
    <xf numFmtId="164" fontId="0" fillId="0" borderId="0" xfId="0" applyNumberFormat="1" applyBorder="1"/>
    <xf numFmtId="44" fontId="0" fillId="0" borderId="0" xfId="0" applyNumberFormat="1"/>
    <xf numFmtId="168" fontId="17" fillId="0" borderId="0" xfId="0" applyNumberFormat="1" applyFont="1" applyBorder="1" applyAlignment="1">
      <alignment horizontal="right"/>
    </xf>
    <xf numFmtId="168" fontId="22" fillId="0" borderId="0" xfId="0" applyNumberFormat="1" applyFont="1" applyBorder="1" applyAlignment="1">
      <alignment horizontal="right"/>
    </xf>
    <xf numFmtId="0" fontId="0" fillId="0" borderId="0" xfId="0" applyFont="1"/>
    <xf numFmtId="0" fontId="0" fillId="2" borderId="0" xfId="0" applyFont="1" applyFill="1" applyBorder="1"/>
    <xf numFmtId="164" fontId="0" fillId="0" borderId="4" xfId="0" applyNumberFormat="1" applyFont="1" applyBorder="1"/>
    <xf numFmtId="0" fontId="0" fillId="0" borderId="4" xfId="0" applyFont="1" applyBorder="1" applyAlignment="1">
      <alignment horizontal="center"/>
    </xf>
    <xf numFmtId="0" fontId="32" fillId="0" borderId="4" xfId="0" applyFont="1" applyBorder="1"/>
    <xf numFmtId="0" fontId="30" fillId="0" borderId="4" xfId="0" applyFont="1" applyBorder="1" applyAlignment="1">
      <alignment vertical="center" wrapText="1"/>
    </xf>
    <xf numFmtId="0" fontId="29" fillId="5" borderId="4" xfId="0" applyFont="1" applyFill="1" applyBorder="1" applyAlignment="1">
      <alignment horizontal="center" vertical="center" wrapText="1"/>
    </xf>
    <xf numFmtId="0" fontId="29" fillId="0" borderId="4" xfId="0" applyFont="1" applyBorder="1" applyAlignment="1">
      <alignment vertical="center" wrapText="1"/>
    </xf>
    <xf numFmtId="0" fontId="30" fillId="2" borderId="4" xfId="0" applyFont="1" applyFill="1" applyBorder="1" applyAlignment="1">
      <alignment horizontal="left" vertical="center" wrapText="1"/>
    </xf>
    <xf numFmtId="0" fontId="29" fillId="0" borderId="4" xfId="0" applyFont="1" applyBorder="1" applyAlignment="1">
      <alignment horizontal="center" vertical="center" wrapText="1"/>
    </xf>
    <xf numFmtId="0" fontId="29" fillId="0" borderId="4" xfId="0" applyFont="1" applyBorder="1" applyAlignment="1">
      <alignment horizontal="right" vertical="center" wrapText="1"/>
    </xf>
    <xf numFmtId="0" fontId="30" fillId="0" borderId="4" xfId="0" applyFont="1" applyBorder="1" applyAlignment="1">
      <alignment horizontal="left" vertical="center" wrapText="1"/>
    </xf>
    <xf numFmtId="0" fontId="30" fillId="0" borderId="4" xfId="0" applyFont="1" applyBorder="1" applyAlignment="1">
      <alignment horizontal="justify" vertical="center" wrapText="1"/>
    </xf>
    <xf numFmtId="0" fontId="30" fillId="2" borderId="4" xfId="0" applyFont="1" applyFill="1" applyBorder="1" applyAlignment="1">
      <alignment vertical="center" wrapText="1"/>
    </xf>
    <xf numFmtId="0" fontId="30" fillId="0" borderId="4" xfId="0" applyFont="1" applyBorder="1" applyAlignment="1">
      <alignment horizontal="center" vertical="center"/>
    </xf>
    <xf numFmtId="0" fontId="32" fillId="0" borderId="4" xfId="0" applyFont="1" applyBorder="1" applyAlignment="1"/>
    <xf numFmtId="0" fontId="29" fillId="5" borderId="4" xfId="0" applyFont="1" applyFill="1" applyBorder="1" applyAlignment="1">
      <alignment vertical="center" wrapText="1"/>
    </xf>
    <xf numFmtId="164" fontId="29" fillId="0" borderId="4" xfId="0" applyNumberFormat="1" applyFont="1" applyBorder="1" applyAlignment="1">
      <alignment horizontal="center" vertical="center" wrapText="1"/>
    </xf>
    <xf numFmtId="0" fontId="29" fillId="0" borderId="4" xfId="0" applyFont="1" applyBorder="1" applyAlignment="1">
      <alignment vertical="center"/>
    </xf>
    <xf numFmtId="164" fontId="30" fillId="0" borderId="4" xfId="1" applyFont="1" applyBorder="1" applyAlignment="1">
      <alignment horizontal="justify" vertical="center" wrapText="1"/>
    </xf>
    <xf numFmtId="164" fontId="29" fillId="5" borderId="4" xfId="1" applyFont="1" applyFill="1" applyBorder="1" applyAlignment="1">
      <alignment horizontal="center" vertical="center" wrapText="1"/>
    </xf>
    <xf numFmtId="164" fontId="36" fillId="0" borderId="4" xfId="1" applyFont="1" applyBorder="1" applyAlignment="1">
      <alignment horizontal="justify" vertical="center" wrapText="1"/>
    </xf>
    <xf numFmtId="0" fontId="36" fillId="0" borderId="4" xfId="0" applyFont="1" applyFill="1" applyBorder="1" applyAlignment="1">
      <alignment horizontal="left"/>
    </xf>
    <xf numFmtId="164" fontId="30" fillId="2" borderId="4" xfId="1" applyFont="1" applyFill="1" applyBorder="1" applyAlignment="1">
      <alignment horizontal="justify" vertical="center" wrapText="1"/>
    </xf>
    <xf numFmtId="0" fontId="32" fillId="2" borderId="4" xfId="0" applyFont="1" applyFill="1" applyBorder="1"/>
    <xf numFmtId="164" fontId="32" fillId="0" borderId="4" xfId="0" applyNumberFormat="1" applyFont="1" applyBorder="1"/>
    <xf numFmtId="10" fontId="30" fillId="0" borderId="4" xfId="2" applyNumberFormat="1" applyFont="1" applyBorder="1" applyAlignment="1">
      <alignment horizontal="center" vertical="center" wrapText="1"/>
    </xf>
    <xf numFmtId="10" fontId="29" fillId="5" borderId="4" xfId="2" applyNumberFormat="1" applyFont="1" applyFill="1" applyBorder="1" applyAlignment="1">
      <alignment horizontal="center" vertical="center" wrapText="1"/>
    </xf>
    <xf numFmtId="164" fontId="29" fillId="5" borderId="4" xfId="1" applyFont="1" applyFill="1" applyBorder="1" applyAlignment="1">
      <alignment horizontal="justify" vertical="center" wrapText="1"/>
    </xf>
    <xf numFmtId="0" fontId="29" fillId="5" borderId="4" xfId="0" applyFont="1" applyFill="1" applyBorder="1" applyAlignment="1">
      <alignment vertical="center"/>
    </xf>
    <xf numFmtId="10" fontId="30" fillId="2" borderId="4" xfId="2" applyNumberFormat="1" applyFont="1" applyFill="1" applyBorder="1" applyAlignment="1">
      <alignment horizontal="center" vertical="center" wrapText="1"/>
    </xf>
    <xf numFmtId="10" fontId="29" fillId="0" borderId="4" xfId="2" applyNumberFormat="1" applyFont="1" applyBorder="1" applyAlignment="1">
      <alignment horizontal="center" vertical="center" wrapText="1"/>
    </xf>
    <xf numFmtId="164" fontId="29" fillId="0" borderId="4" xfId="1" applyFont="1" applyBorder="1" applyAlignment="1">
      <alignment horizontal="justify" vertical="center" wrapText="1"/>
    </xf>
    <xf numFmtId="165" fontId="30" fillId="2" borderId="4" xfId="2" applyNumberFormat="1" applyFont="1" applyFill="1" applyBorder="1" applyAlignment="1">
      <alignment horizontal="center" vertical="center" wrapText="1"/>
    </xf>
    <xf numFmtId="164" fontId="29" fillId="0" borderId="4" xfId="1" applyFont="1" applyBorder="1" applyAlignment="1">
      <alignment horizontal="right" vertical="center" wrapText="1"/>
    </xf>
    <xf numFmtId="164" fontId="30" fillId="0" borderId="4" xfId="0" applyNumberFormat="1" applyFont="1" applyBorder="1" applyAlignment="1">
      <alignment horizontal="justify" vertical="center" wrapText="1"/>
    </xf>
    <xf numFmtId="164" fontId="29" fillId="5" borderId="4" xfId="0" applyNumberFormat="1" applyFont="1" applyFill="1" applyBorder="1" applyAlignment="1">
      <alignment horizontal="center" vertical="center" wrapText="1"/>
    </xf>
    <xf numFmtId="164" fontId="30" fillId="0" borderId="4" xfId="1" applyFont="1" applyFill="1" applyBorder="1" applyAlignment="1">
      <alignment horizontal="justify" vertical="center" wrapText="1"/>
    </xf>
    <xf numFmtId="9" fontId="29" fillId="0" borderId="4" xfId="2" applyNumberFormat="1" applyFont="1" applyFill="1" applyBorder="1" applyAlignment="1">
      <alignment horizontal="center" vertical="center" wrapText="1"/>
    </xf>
    <xf numFmtId="10" fontId="29" fillId="2" borderId="4" xfId="2" applyNumberFormat="1" applyFont="1" applyFill="1" applyBorder="1" applyAlignment="1">
      <alignment horizontal="center" vertical="center" wrapText="1"/>
    </xf>
    <xf numFmtId="0" fontId="29" fillId="0" borderId="4" xfId="0" applyFont="1" applyBorder="1" applyAlignment="1">
      <alignment horizontal="right" vertical="center"/>
    </xf>
    <xf numFmtId="164" fontId="30" fillId="0" borderId="4" xfId="0" applyNumberFormat="1" applyFont="1" applyBorder="1" applyAlignment="1">
      <alignment horizontal="justify" vertical="center" wrapText="1"/>
    </xf>
    <xf numFmtId="0" fontId="30" fillId="0" borderId="4" xfId="0" applyFont="1" applyBorder="1" applyAlignment="1">
      <alignment horizontal="justify" vertical="center" wrapText="1"/>
    </xf>
    <xf numFmtId="10" fontId="29" fillId="0" borderId="4" xfId="2" applyNumberFormat="1" applyFont="1" applyFill="1" applyBorder="1" applyAlignment="1">
      <alignment horizontal="center" vertical="center" wrapText="1"/>
    </xf>
    <xf numFmtId="0" fontId="29" fillId="2" borderId="4" xfId="0" applyFont="1" applyFill="1" applyBorder="1" applyAlignment="1">
      <alignment horizontal="center" vertical="center" wrapText="1"/>
    </xf>
    <xf numFmtId="0" fontId="32" fillId="5" borderId="4" xfId="0" applyFont="1" applyFill="1" applyBorder="1"/>
    <xf numFmtId="0" fontId="37" fillId="0" borderId="4" xfId="0" applyFont="1" applyBorder="1" applyAlignment="1">
      <alignment horizontal="center" vertical="center" wrapText="1"/>
    </xf>
    <xf numFmtId="0" fontId="29" fillId="8" borderId="4" xfId="0" applyFont="1" applyFill="1" applyBorder="1" applyAlignment="1">
      <alignment horizontal="center" vertical="center" wrapText="1"/>
    </xf>
    <xf numFmtId="164" fontId="36" fillId="0" borderId="4" xfId="1" applyFont="1" applyFill="1" applyBorder="1" applyAlignment="1">
      <alignment horizontal="justify" vertical="center" wrapText="1"/>
    </xf>
    <xf numFmtId="14" fontId="29" fillId="0" borderId="4" xfId="0" applyNumberFormat="1" applyFont="1" applyFill="1" applyBorder="1" applyAlignment="1">
      <alignment horizontal="center" vertical="center" wrapText="1"/>
    </xf>
    <xf numFmtId="14" fontId="29" fillId="0" borderId="4" xfId="0" applyNumberFormat="1" applyFont="1" applyFill="1" applyBorder="1" applyAlignment="1">
      <alignment horizontal="center" vertical="center" wrapText="1"/>
    </xf>
    <xf numFmtId="164" fontId="38" fillId="0" borderId="4" xfId="1" applyFont="1" applyFill="1" applyBorder="1" applyAlignment="1">
      <alignment horizontal="justify" vertical="center" wrapText="1"/>
    </xf>
    <xf numFmtId="0" fontId="30" fillId="0" borderId="4" xfId="0" applyFont="1" applyBorder="1" applyAlignment="1">
      <alignment horizontal="center" vertical="center"/>
    </xf>
    <xf numFmtId="164" fontId="30" fillId="0" borderId="4" xfId="0" applyNumberFormat="1" applyFont="1" applyBorder="1" applyAlignment="1">
      <alignment horizontal="justify" vertical="center" wrapText="1"/>
    </xf>
    <xf numFmtId="0" fontId="30" fillId="0" borderId="4" xfId="0" applyFont="1" applyBorder="1" applyAlignment="1">
      <alignment horizontal="justify" vertical="center" wrapText="1"/>
    </xf>
    <xf numFmtId="0" fontId="29" fillId="5" borderId="4" xfId="0" applyFont="1" applyFill="1" applyBorder="1" applyAlignment="1">
      <alignment horizontal="center" vertical="center" wrapText="1"/>
    </xf>
    <xf numFmtId="14" fontId="29" fillId="0" borderId="4" xfId="0" applyNumberFormat="1"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0" borderId="4" xfId="0" applyFont="1" applyBorder="1" applyAlignment="1">
      <alignment horizontal="center" vertical="center" wrapText="1"/>
    </xf>
    <xf numFmtId="10" fontId="29" fillId="5" borderId="7" xfId="2" applyNumberFormat="1" applyFont="1" applyFill="1" applyBorder="1" applyAlignment="1">
      <alignment horizontal="center" vertical="center" wrapText="1"/>
    </xf>
    <xf numFmtId="164" fontId="29" fillId="5" borderId="7" xfId="1" applyFont="1" applyFill="1" applyBorder="1" applyAlignment="1">
      <alignment horizontal="center" vertical="center" wrapText="1"/>
    </xf>
    <xf numFmtId="0" fontId="36" fillId="5" borderId="4" xfId="0" applyFont="1" applyFill="1" applyBorder="1" applyAlignment="1">
      <alignment horizontal="center" vertical="center" wrapText="1"/>
    </xf>
    <xf numFmtId="0" fontId="38" fillId="0" borderId="4" xfId="0" applyFont="1" applyBorder="1" applyAlignment="1">
      <alignment horizontal="center" vertical="center" wrapText="1"/>
    </xf>
    <xf numFmtId="0" fontId="38" fillId="0" borderId="4" xfId="0" applyFont="1" applyBorder="1" applyAlignment="1">
      <alignment vertical="center" wrapText="1"/>
    </xf>
    <xf numFmtId="165" fontId="38" fillId="2" borderId="4" xfId="2" applyNumberFormat="1" applyFont="1" applyFill="1" applyBorder="1" applyAlignment="1">
      <alignment horizontal="center" vertical="center" wrapText="1"/>
    </xf>
    <xf numFmtId="164" fontId="38" fillId="2" borderId="4" xfId="1" applyFont="1" applyFill="1" applyBorder="1" applyAlignment="1">
      <alignment horizontal="justify" vertical="center" wrapText="1"/>
    </xf>
    <xf numFmtId="10" fontId="38" fillId="0" borderId="4" xfId="2" applyNumberFormat="1" applyFont="1" applyBorder="1" applyAlignment="1">
      <alignment horizontal="center" vertical="center" wrapText="1"/>
    </xf>
    <xf numFmtId="164" fontId="38" fillId="0" borderId="4" xfId="1" applyFont="1" applyBorder="1" applyAlignment="1">
      <alignment horizontal="justify" vertical="center" wrapText="1"/>
    </xf>
    <xf numFmtId="0" fontId="36" fillId="5" borderId="4" xfId="0" applyFont="1" applyFill="1" applyBorder="1" applyAlignment="1">
      <alignment horizontal="center" vertical="center" wrapText="1"/>
    </xf>
    <xf numFmtId="10" fontId="36" fillId="5" borderId="4" xfId="2" applyNumberFormat="1" applyFont="1" applyFill="1" applyBorder="1" applyAlignment="1">
      <alignment horizontal="center" vertical="center" wrapText="1"/>
    </xf>
    <xf numFmtId="164" fontId="36" fillId="5" borderId="4" xfId="1" applyFont="1" applyFill="1" applyBorder="1" applyAlignment="1">
      <alignment horizontal="center" vertical="center" wrapText="1"/>
    </xf>
    <xf numFmtId="10" fontId="30" fillId="8" borderId="4" xfId="2" applyNumberFormat="1" applyFont="1" applyFill="1" applyBorder="1" applyAlignment="1">
      <alignment horizontal="center" vertical="center" wrapText="1"/>
    </xf>
    <xf numFmtId="14" fontId="36" fillId="8" borderId="4" xfId="0" applyNumberFormat="1" applyFont="1" applyFill="1" applyBorder="1" applyAlignment="1">
      <alignment horizontal="center" vertical="center" wrapText="1"/>
    </xf>
    <xf numFmtId="164" fontId="36" fillId="8" borderId="4" xfId="0" applyNumberFormat="1" applyFont="1" applyFill="1" applyBorder="1" applyAlignment="1">
      <alignment horizontal="center" vertical="center" wrapText="1"/>
    </xf>
    <xf numFmtId="164" fontId="30" fillId="8" borderId="4" xfId="1" applyFont="1" applyFill="1" applyBorder="1" applyAlignment="1">
      <alignment horizontal="justify" vertical="center" wrapText="1"/>
    </xf>
    <xf numFmtId="0" fontId="42" fillId="2" borderId="8" xfId="0" applyFont="1" applyFill="1" applyBorder="1" applyAlignment="1">
      <alignment horizontal="center" vertical="center"/>
    </xf>
    <xf numFmtId="0" fontId="41" fillId="2" borderId="8" xfId="0" applyFont="1" applyFill="1" applyBorder="1" applyAlignment="1">
      <alignment horizontal="center" vertical="center" wrapText="1"/>
    </xf>
    <xf numFmtId="164" fontId="42" fillId="2" borderId="8" xfId="1" applyFont="1" applyFill="1" applyBorder="1" applyAlignment="1">
      <alignment vertical="center" wrapText="1"/>
    </xf>
    <xf numFmtId="164" fontId="42" fillId="2" borderId="9" xfId="1" applyNumberFormat="1" applyFont="1" applyFill="1" applyBorder="1" applyAlignment="1">
      <alignment vertical="center" wrapText="1"/>
    </xf>
    <xf numFmtId="0" fontId="42" fillId="2" borderId="4" xfId="0" applyFont="1" applyFill="1" applyBorder="1" applyAlignment="1">
      <alignment horizontal="center" vertical="center"/>
    </xf>
    <xf numFmtId="0" fontId="41" fillId="2" borderId="4" xfId="0" applyFont="1" applyFill="1" applyBorder="1" applyAlignment="1">
      <alignment horizontal="center" vertical="center" wrapText="1"/>
    </xf>
    <xf numFmtId="164" fontId="42" fillId="2" borderId="4" xfId="1" applyFont="1" applyFill="1" applyBorder="1" applyAlignment="1">
      <alignment vertical="center" wrapText="1"/>
    </xf>
    <xf numFmtId="164" fontId="42" fillId="2" borderId="5" xfId="1" applyNumberFormat="1" applyFont="1" applyFill="1" applyBorder="1" applyAlignment="1">
      <alignment vertical="center" wrapText="1"/>
    </xf>
    <xf numFmtId="164" fontId="45" fillId="8" borderId="6" xfId="0" applyNumberFormat="1" applyFont="1" applyFill="1" applyBorder="1" applyAlignment="1">
      <alignment vertical="center"/>
    </xf>
    <xf numFmtId="0" fontId="42" fillId="2" borderId="17" xfId="0" applyFont="1" applyFill="1" applyBorder="1" applyAlignment="1">
      <alignment horizontal="center" vertical="center"/>
    </xf>
    <xf numFmtId="0" fontId="41" fillId="2" borderId="17" xfId="0" applyFont="1" applyFill="1" applyBorder="1" applyAlignment="1">
      <alignment horizontal="center" vertical="center" wrapText="1"/>
    </xf>
    <xf numFmtId="164" fontId="42" fillId="2" borderId="17" xfId="1" applyFont="1" applyFill="1" applyBorder="1" applyAlignment="1">
      <alignment vertical="center" wrapText="1"/>
    </xf>
    <xf numFmtId="164" fontId="42" fillId="2" borderId="37" xfId="1" applyNumberFormat="1" applyFont="1" applyFill="1" applyBorder="1" applyAlignment="1">
      <alignment vertical="center" wrapText="1"/>
    </xf>
    <xf numFmtId="164" fontId="43" fillId="8" borderId="38" xfId="1" applyNumberFormat="1" applyFont="1" applyFill="1" applyBorder="1" applyAlignment="1">
      <alignment vertical="center" wrapText="1"/>
    </xf>
    <xf numFmtId="0" fontId="39" fillId="0" borderId="36" xfId="0" applyFont="1" applyBorder="1" applyAlignment="1">
      <alignment horizontal="center" vertical="center" wrapText="1"/>
    </xf>
    <xf numFmtId="0" fontId="39" fillId="0" borderId="13" xfId="0" applyFont="1" applyBorder="1" applyAlignment="1">
      <alignment horizontal="center" vertical="center" wrapText="1"/>
    </xf>
    <xf numFmtId="0" fontId="46" fillId="2" borderId="17" xfId="0" applyFont="1" applyFill="1" applyBorder="1" applyAlignment="1">
      <alignment vertical="center" wrapText="1"/>
    </xf>
    <xf numFmtId="0" fontId="46" fillId="2" borderId="4" xfId="0" applyFont="1" applyFill="1" applyBorder="1" applyAlignment="1">
      <alignment vertical="center" wrapText="1"/>
    </xf>
    <xf numFmtId="0" fontId="49" fillId="2" borderId="4" xfId="0" applyFont="1" applyFill="1" applyBorder="1" applyAlignment="1">
      <alignment vertical="center" wrapText="1"/>
    </xf>
    <xf numFmtId="0" fontId="46" fillId="2" borderId="8" xfId="0" applyFont="1" applyFill="1" applyBorder="1" applyAlignment="1">
      <alignment vertical="center" wrapText="1"/>
    </xf>
    <xf numFmtId="0" fontId="41" fillId="5" borderId="26" xfId="0" applyFont="1" applyFill="1" applyBorder="1" applyAlignment="1">
      <alignment horizontal="center" vertical="center" wrapText="1"/>
    </xf>
    <xf numFmtId="0" fontId="41" fillId="5" borderId="31" xfId="0" applyFont="1" applyFill="1" applyBorder="1" applyAlignment="1">
      <alignment horizontal="center" vertical="center" wrapText="1"/>
    </xf>
    <xf numFmtId="0" fontId="41" fillId="5" borderId="10" xfId="0" applyFont="1" applyFill="1" applyBorder="1" applyAlignment="1">
      <alignment horizontal="center" vertical="center" wrapText="1"/>
    </xf>
    <xf numFmtId="0" fontId="31" fillId="0" borderId="4" xfId="0" applyFont="1" applyBorder="1" applyAlignment="1">
      <alignment horizontal="center" vertical="center" wrapText="1"/>
    </xf>
    <xf numFmtId="0" fontId="39" fillId="0" borderId="4" xfId="0" applyFont="1" applyBorder="1" applyAlignment="1">
      <alignment horizontal="justify" vertical="center" wrapText="1"/>
    </xf>
    <xf numFmtId="164" fontId="31" fillId="0" borderId="4" xfId="1" applyFont="1" applyBorder="1" applyAlignment="1">
      <alignment horizontal="center" vertical="center" wrapText="1"/>
    </xf>
    <xf numFmtId="164" fontId="31" fillId="2" borderId="4" xfId="1" applyFont="1" applyFill="1" applyBorder="1" applyAlignment="1">
      <alignment horizontal="center" vertical="center" wrapText="1"/>
    </xf>
    <xf numFmtId="0" fontId="39" fillId="2" borderId="4" xfId="0" applyFont="1" applyFill="1" applyBorder="1" applyAlignment="1">
      <alignment horizontal="justify" vertical="center" wrapText="1"/>
    </xf>
    <xf numFmtId="0" fontId="31" fillId="2" borderId="4" xfId="0" applyFont="1" applyFill="1" applyBorder="1" applyAlignment="1">
      <alignment horizontal="center" vertical="center" wrapText="1"/>
    </xf>
    <xf numFmtId="0" fontId="39" fillId="0" borderId="17" xfId="0" applyFont="1" applyBorder="1" applyAlignment="1">
      <alignment horizontal="justify" vertical="center" wrapText="1"/>
    </xf>
    <xf numFmtId="0" fontId="31" fillId="0" borderId="17" xfId="0" applyFont="1" applyBorder="1" applyAlignment="1">
      <alignment horizontal="center" vertical="center" wrapText="1"/>
    </xf>
    <xf numFmtId="164" fontId="31" fillId="0" borderId="17" xfId="1" applyFont="1" applyBorder="1" applyAlignment="1">
      <alignment horizontal="center" vertical="center" wrapText="1"/>
    </xf>
    <xf numFmtId="164" fontId="31" fillId="0" borderId="37" xfId="1" applyFont="1" applyBorder="1" applyAlignment="1">
      <alignment horizontal="center" vertical="center" wrapText="1"/>
    </xf>
    <xf numFmtId="0" fontId="39" fillId="5" borderId="12" xfId="0" applyFont="1" applyFill="1" applyBorder="1" applyAlignment="1">
      <alignment horizontal="center" vertical="center" wrapText="1"/>
    </xf>
    <xf numFmtId="0" fontId="39" fillId="5" borderId="8"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0" borderId="17" xfId="0" applyFont="1" applyBorder="1" applyAlignment="1">
      <alignment horizontal="center" vertical="center" wrapText="1"/>
    </xf>
    <xf numFmtId="0" fontId="39" fillId="0" borderId="4" xfId="0" applyFont="1" applyBorder="1" applyAlignment="1">
      <alignment horizontal="center" vertical="center" wrapText="1"/>
    </xf>
    <xf numFmtId="0" fontId="39" fillId="2" borderId="4" xfId="0" applyFont="1" applyFill="1" applyBorder="1" applyAlignment="1">
      <alignment horizontal="center" vertical="center" wrapText="1"/>
    </xf>
    <xf numFmtId="164" fontId="42" fillId="0" borderId="1" xfId="1" applyFont="1" applyBorder="1" applyAlignment="1">
      <alignment horizontal="center" vertical="center"/>
    </xf>
    <xf numFmtId="164" fontId="41" fillId="0" borderId="1" xfId="1" applyFont="1" applyBorder="1" applyAlignment="1">
      <alignment horizontal="center" vertical="center"/>
    </xf>
    <xf numFmtId="164" fontId="41" fillId="2" borderId="3" xfId="1" applyFont="1" applyFill="1" applyBorder="1" applyAlignment="1">
      <alignment horizontal="center" vertical="center"/>
    </xf>
    <xf numFmtId="0" fontId="42" fillId="2" borderId="4" xfId="0" applyFont="1" applyFill="1" applyBorder="1" applyAlignment="1">
      <alignment horizontal="left" vertical="center" wrapText="1"/>
    </xf>
    <xf numFmtId="1" fontId="42" fillId="2" borderId="4" xfId="0" applyNumberFormat="1" applyFont="1" applyFill="1" applyBorder="1" applyAlignment="1">
      <alignment horizontal="center" vertical="center" wrapText="1"/>
    </xf>
    <xf numFmtId="166" fontId="42" fillId="2" borderId="4" xfId="0" applyNumberFormat="1" applyFont="1" applyFill="1" applyBorder="1" applyAlignment="1">
      <alignment horizontal="center" vertical="center" wrapText="1"/>
    </xf>
    <xf numFmtId="167" fontId="42" fillId="2" borderId="4" xfId="1" applyNumberFormat="1" applyFont="1" applyFill="1" applyBorder="1" applyAlignment="1">
      <alignment horizontal="center" vertical="center" wrapText="1"/>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0" fontId="31" fillId="2" borderId="1" xfId="0" applyFont="1" applyFill="1" applyBorder="1" applyAlignment="1">
      <alignment vertical="center"/>
    </xf>
    <xf numFmtId="0" fontId="42" fillId="2" borderId="13" xfId="0" applyFont="1" applyFill="1" applyBorder="1" applyAlignment="1">
      <alignment horizontal="center" vertical="center" wrapText="1"/>
    </xf>
    <xf numFmtId="0" fontId="42" fillId="2" borderId="36" xfId="0" applyFont="1" applyFill="1" applyBorder="1" applyAlignment="1">
      <alignment horizontal="center" vertical="center" wrapText="1"/>
    </xf>
    <xf numFmtId="0" fontId="42" fillId="2" borderId="17" xfId="0" applyFont="1" applyFill="1" applyBorder="1" applyAlignment="1">
      <alignment horizontal="center" vertical="center" wrapText="1"/>
    </xf>
    <xf numFmtId="0" fontId="42" fillId="2" borderId="19" xfId="0" applyFont="1" applyFill="1" applyBorder="1" applyAlignment="1">
      <alignment horizontal="center" vertical="center" wrapText="1"/>
    </xf>
    <xf numFmtId="166" fontId="31" fillId="2" borderId="16" xfId="0" applyNumberFormat="1" applyFont="1" applyFill="1" applyBorder="1" applyAlignment="1">
      <alignment horizontal="center" vertical="center" wrapText="1"/>
    </xf>
    <xf numFmtId="2" fontId="42" fillId="2" borderId="16" xfId="0" applyNumberFormat="1" applyFont="1" applyFill="1" applyBorder="1" applyAlignment="1">
      <alignment horizontal="center" vertical="center" wrapText="1"/>
    </xf>
    <xf numFmtId="166" fontId="53" fillId="8" borderId="43" xfId="1" applyNumberFormat="1" applyFont="1" applyFill="1" applyBorder="1" applyAlignment="1">
      <alignment horizontal="center" vertical="center" wrapText="1"/>
    </xf>
    <xf numFmtId="0" fontId="0" fillId="0" borderId="0" xfId="0" applyAlignment="1"/>
    <xf numFmtId="0" fontId="10" fillId="0" borderId="4" xfId="0" applyFont="1" applyBorder="1" applyAlignment="1">
      <alignment horizontal="center"/>
    </xf>
    <xf numFmtId="0" fontId="10" fillId="0" borderId="13" xfId="0" applyFont="1" applyBorder="1"/>
    <xf numFmtId="0" fontId="0" fillId="0" borderId="13" xfId="0" applyFont="1" applyBorder="1"/>
    <xf numFmtId="164" fontId="0" fillId="0" borderId="5" xfId="1" applyFont="1" applyBorder="1"/>
    <xf numFmtId="0" fontId="10" fillId="5" borderId="14" xfId="0" applyFont="1" applyFill="1" applyBorder="1" applyAlignment="1">
      <alignment horizontal="center"/>
    </xf>
    <xf numFmtId="164" fontId="10" fillId="5" borderId="15" xfId="0" applyNumberFormat="1" applyFont="1" applyFill="1" applyBorder="1"/>
    <xf numFmtId="0" fontId="10" fillId="0" borderId="4" xfId="0" applyFont="1" applyBorder="1" applyAlignment="1">
      <alignment horizontal="center" wrapText="1"/>
    </xf>
    <xf numFmtId="0" fontId="10" fillId="0" borderId="5" xfId="0" applyFont="1" applyBorder="1" applyAlignment="1">
      <alignment horizontal="center" vertical="center"/>
    </xf>
    <xf numFmtId="164" fontId="54" fillId="0" borderId="0" xfId="0" applyNumberFormat="1" applyFont="1" applyBorder="1"/>
    <xf numFmtId="164" fontId="0" fillId="5" borderId="5" xfId="0" applyNumberFormat="1" applyFont="1" applyFill="1" applyBorder="1"/>
    <xf numFmtId="0" fontId="10" fillId="0" borderId="4" xfId="0" applyFont="1" applyBorder="1" applyAlignment="1">
      <alignment horizontal="center" vertical="center"/>
    </xf>
    <xf numFmtId="0" fontId="55" fillId="0" borderId="4" xfId="0" applyFont="1" applyFill="1" applyBorder="1" applyAlignment="1">
      <alignment horizontal="center" vertical="center"/>
    </xf>
    <xf numFmtId="168" fontId="56" fillId="0" borderId="4" xfId="0" applyNumberFormat="1" applyFont="1" applyFill="1" applyBorder="1" applyAlignment="1">
      <alignment horizontal="right"/>
    </xf>
    <xf numFmtId="168" fontId="55" fillId="0" borderId="4" xfId="0" applyNumberFormat="1" applyFont="1" applyFill="1" applyBorder="1" applyAlignment="1">
      <alignment horizontal="right"/>
    </xf>
    <xf numFmtId="164" fontId="56" fillId="0" borderId="4" xfId="0" applyNumberFormat="1" applyFont="1" applyBorder="1"/>
    <xf numFmtId="164" fontId="56" fillId="0" borderId="5" xfId="1" applyFont="1" applyBorder="1"/>
    <xf numFmtId="164" fontId="56" fillId="5" borderId="5" xfId="0" applyNumberFormat="1" applyFont="1" applyFill="1" applyBorder="1"/>
    <xf numFmtId="164" fontId="55" fillId="0" borderId="5" xfId="0" applyNumberFormat="1" applyFont="1" applyBorder="1"/>
    <xf numFmtId="0" fontId="10" fillId="0" borderId="13" xfId="0" applyFont="1" applyBorder="1" applyAlignment="1">
      <alignment vertical="center"/>
    </xf>
    <xf numFmtId="0" fontId="10" fillId="0" borderId="4" xfId="0" applyFont="1" applyBorder="1" applyAlignment="1">
      <alignment horizontal="center" vertical="center" wrapText="1"/>
    </xf>
    <xf numFmtId="164" fontId="0" fillId="0" borderId="4" xfId="0" applyNumberFormat="1" applyFont="1" applyBorder="1" applyAlignment="1">
      <alignment horizontal="center"/>
    </xf>
    <xf numFmtId="49" fontId="57" fillId="0" borderId="4" xfId="0" applyNumberFormat="1" applyFont="1" applyFill="1" applyBorder="1" applyAlignment="1">
      <alignment vertical="center"/>
    </xf>
    <xf numFmtId="0" fontId="57" fillId="0" borderId="4" xfId="0" applyFont="1" applyFill="1" applyBorder="1" applyAlignment="1"/>
    <xf numFmtId="0" fontId="10" fillId="0" borderId="13" xfId="0" applyFont="1" applyBorder="1" applyAlignment="1">
      <alignment horizontal="left" vertical="center"/>
    </xf>
    <xf numFmtId="0" fontId="55" fillId="0" borderId="13" xfId="0" applyFont="1" applyFill="1" applyBorder="1" applyAlignment="1">
      <alignment horizontal="center" vertical="center"/>
    </xf>
    <xf numFmtId="0" fontId="55" fillId="0" borderId="5" xfId="0" applyFont="1" applyFill="1" applyBorder="1" applyAlignment="1">
      <alignment vertical="center" wrapText="1"/>
    </xf>
    <xf numFmtId="0" fontId="55" fillId="0" borderId="13" xfId="0" applyFont="1" applyFill="1" applyBorder="1" applyAlignment="1">
      <alignment vertical="center"/>
    </xf>
    <xf numFmtId="0" fontId="55" fillId="0" borderId="13" xfId="0" applyFont="1" applyFill="1" applyBorder="1" applyAlignment="1">
      <alignment horizontal="right" vertical="center"/>
    </xf>
    <xf numFmtId="49" fontId="57" fillId="0" borderId="13" xfId="0" applyNumberFormat="1" applyFont="1" applyFill="1" applyBorder="1" applyAlignment="1">
      <alignment vertical="center"/>
    </xf>
    <xf numFmtId="49" fontId="57" fillId="0" borderId="5" xfId="0" applyNumberFormat="1" applyFont="1" applyFill="1" applyBorder="1" applyAlignment="1">
      <alignment vertical="center"/>
    </xf>
    <xf numFmtId="0" fontId="55" fillId="0" borderId="13" xfId="0" applyFont="1" applyFill="1" applyBorder="1" applyAlignment="1">
      <alignment horizontal="right"/>
    </xf>
    <xf numFmtId="0" fontId="57" fillId="0" borderId="5" xfId="0" applyFont="1" applyFill="1" applyBorder="1" applyAlignment="1"/>
    <xf numFmtId="0" fontId="20" fillId="0" borderId="35" xfId="0" applyFont="1" applyFill="1" applyBorder="1" applyAlignment="1">
      <alignment horizontal="right"/>
    </xf>
    <xf numFmtId="168" fontId="55" fillId="0" borderId="7" xfId="0" applyNumberFormat="1" applyFont="1" applyFill="1" applyBorder="1" applyAlignment="1">
      <alignment horizontal="right"/>
    </xf>
    <xf numFmtId="0" fontId="57" fillId="0" borderId="7" xfId="0" applyFont="1" applyFill="1" applyBorder="1" applyAlignment="1"/>
    <xf numFmtId="0" fontId="57" fillId="0" borderId="38" xfId="0" applyFont="1" applyFill="1" applyBorder="1" applyAlignment="1"/>
    <xf numFmtId="0" fontId="36" fillId="0" borderId="13" xfId="0" applyFont="1" applyFill="1" applyBorder="1" applyAlignment="1">
      <alignment horizontal="right"/>
    </xf>
    <xf numFmtId="0" fontId="0" fillId="0" borderId="0" xfId="0" applyFill="1"/>
    <xf numFmtId="0" fontId="54" fillId="0" borderId="0" xfId="0" applyFont="1" applyAlignment="1">
      <alignment horizontal="center"/>
    </xf>
    <xf numFmtId="10" fontId="30" fillId="0" borderId="4" xfId="2" applyNumberFormat="1" applyFont="1" applyFill="1" applyBorder="1" applyAlignment="1">
      <alignment horizontal="center" vertical="center" wrapText="1"/>
    </xf>
    <xf numFmtId="165" fontId="30" fillId="0" borderId="4" xfId="2" applyNumberFormat="1" applyFont="1" applyFill="1" applyBorder="1" applyAlignment="1">
      <alignment horizontal="center" vertical="center" wrapText="1"/>
    </xf>
    <xf numFmtId="10" fontId="38" fillId="0" borderId="4" xfId="2" applyNumberFormat="1" applyFont="1" applyFill="1" applyBorder="1" applyAlignment="1">
      <alignment horizontal="center" vertical="center" wrapText="1"/>
    </xf>
    <xf numFmtId="10" fontId="36" fillId="0" borderId="4" xfId="2" applyNumberFormat="1" applyFont="1" applyFill="1" applyBorder="1" applyAlignment="1">
      <alignment horizontal="center" vertical="center" wrapText="1"/>
    </xf>
    <xf numFmtId="164" fontId="29" fillId="0" borderId="4" xfId="1" applyFont="1" applyFill="1" applyBorder="1" applyAlignment="1">
      <alignment horizontal="justify" vertical="center" wrapText="1"/>
    </xf>
    <xf numFmtId="10" fontId="35" fillId="10" borderId="4" xfId="2" applyNumberFormat="1" applyFont="1" applyFill="1" applyBorder="1" applyAlignment="1">
      <alignment horizontal="center" vertical="center" wrapText="1"/>
    </xf>
    <xf numFmtId="164" fontId="35" fillId="10" borderId="4" xfId="1" applyFont="1" applyFill="1" applyBorder="1" applyAlignment="1">
      <alignment horizontal="justify" vertical="center" wrapText="1"/>
    </xf>
    <xf numFmtId="164" fontId="34" fillId="10" borderId="4" xfId="1" applyFont="1" applyFill="1" applyBorder="1" applyAlignment="1">
      <alignment horizontal="justify" vertical="center" wrapText="1"/>
    </xf>
    <xf numFmtId="0" fontId="17" fillId="0" borderId="52" xfId="0" applyFont="1" applyBorder="1" applyAlignment="1">
      <alignment vertical="center"/>
    </xf>
    <xf numFmtId="164" fontId="17" fillId="0" borderId="52" xfId="1" applyFont="1" applyBorder="1" applyAlignment="1">
      <alignment vertical="center"/>
    </xf>
    <xf numFmtId="0" fontId="17" fillId="0" borderId="1" xfId="0" applyFont="1" applyBorder="1" applyAlignment="1">
      <alignment vertical="center"/>
    </xf>
    <xf numFmtId="0" fontId="0" fillId="0" borderId="4" xfId="0" applyFont="1" applyBorder="1" applyAlignment="1">
      <alignment horizontal="center"/>
    </xf>
    <xf numFmtId="168" fontId="56" fillId="0" borderId="4" xfId="0" applyNumberFormat="1" applyFont="1" applyFill="1" applyBorder="1" applyAlignment="1"/>
    <xf numFmtId="168" fontId="55" fillId="0" borderId="4" xfId="0" applyNumberFormat="1" applyFont="1" applyFill="1" applyBorder="1" applyAlignment="1"/>
    <xf numFmtId="169" fontId="55" fillId="0" borderId="4" xfId="0" applyNumberFormat="1" applyFont="1" applyFill="1" applyBorder="1" applyAlignment="1">
      <alignment vertical="center"/>
    </xf>
    <xf numFmtId="164" fontId="10" fillId="5" borderId="4" xfId="0" applyNumberFormat="1" applyFont="1" applyFill="1" applyBorder="1"/>
    <xf numFmtId="0" fontId="0" fillId="0" borderId="4" xfId="0" applyFont="1" applyBorder="1"/>
    <xf numFmtId="164" fontId="0" fillId="0" borderId="4" xfId="1" applyFont="1" applyBorder="1"/>
    <xf numFmtId="164" fontId="10" fillId="0" borderId="4" xfId="0" applyNumberFormat="1" applyFont="1" applyBorder="1"/>
    <xf numFmtId="0" fontId="0" fillId="0" borderId="4" xfId="0" applyBorder="1"/>
    <xf numFmtId="44" fontId="0" fillId="0" borderId="4" xfId="0" applyNumberFormat="1" applyBorder="1"/>
    <xf numFmtId="0" fontId="0" fillId="0" borderId="0" xfId="0" applyBorder="1" applyAlignment="1">
      <alignment horizontal="center"/>
    </xf>
    <xf numFmtId="0" fontId="0" fillId="0" borderId="0" xfId="0" applyAlignment="1">
      <alignment horizontal="center"/>
    </xf>
    <xf numFmtId="0" fontId="10" fillId="5" borderId="12"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0" borderId="13" xfId="0" applyFont="1" applyBorder="1" applyAlignment="1">
      <alignment horizontal="right"/>
    </xf>
    <xf numFmtId="0" fontId="10" fillId="0" borderId="4" xfId="0" applyFont="1" applyBorder="1" applyAlignment="1">
      <alignment horizontal="right"/>
    </xf>
    <xf numFmtId="0" fontId="10" fillId="0" borderId="13" xfId="0" applyFont="1" applyBorder="1" applyAlignment="1">
      <alignment horizontal="left"/>
    </xf>
    <xf numFmtId="0" fontId="10" fillId="0" borderId="4" xfId="0" applyFont="1" applyBorder="1" applyAlignment="1">
      <alignment horizontal="left"/>
    </xf>
    <xf numFmtId="0" fontId="10" fillId="5" borderId="1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13" xfId="0" applyFont="1" applyFill="1" applyBorder="1" applyAlignment="1">
      <alignment horizontal="right"/>
    </xf>
    <xf numFmtId="0" fontId="10" fillId="5" borderId="4" xfId="0" applyFont="1" applyFill="1" applyBorder="1" applyAlignment="1">
      <alignment horizontal="right"/>
    </xf>
    <xf numFmtId="0" fontId="0" fillId="0" borderId="29" xfId="0" applyFill="1" applyBorder="1" applyAlignment="1">
      <alignment horizontal="center"/>
    </xf>
    <xf numFmtId="0" fontId="0" fillId="0" borderId="34" xfId="0" applyFill="1" applyBorder="1" applyAlignment="1">
      <alignment horizontal="center"/>
    </xf>
    <xf numFmtId="0" fontId="0" fillId="0" borderId="46" xfId="0" applyFill="1" applyBorder="1" applyAlignment="1">
      <alignment horizontal="center"/>
    </xf>
    <xf numFmtId="0" fontId="10" fillId="0" borderId="38"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2" borderId="38"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0" fillId="0" borderId="44" xfId="0" applyFont="1" applyBorder="1" applyAlignment="1">
      <alignment horizontal="center"/>
    </xf>
    <xf numFmtId="0" fontId="10" fillId="0" borderId="32" xfId="0" applyFont="1" applyBorder="1" applyAlignment="1">
      <alignment horizontal="center"/>
    </xf>
    <xf numFmtId="0" fontId="10" fillId="0" borderId="39" xfId="0" applyFont="1" applyBorder="1" applyAlignment="1">
      <alignment horizontal="center"/>
    </xf>
    <xf numFmtId="0" fontId="0" fillId="0" borderId="1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0" fillId="0" borderId="23" xfId="0" applyFont="1" applyFill="1" applyBorder="1" applyAlignment="1">
      <alignment horizontal="center"/>
    </xf>
    <xf numFmtId="0" fontId="10" fillId="0" borderId="11" xfId="0" applyFont="1" applyFill="1" applyBorder="1" applyAlignment="1">
      <alignment horizontal="center"/>
    </xf>
    <xf numFmtId="0" fontId="10" fillId="0" borderId="3" xfId="0" applyFont="1" applyFill="1" applyBorder="1" applyAlignment="1">
      <alignment horizontal="center"/>
    </xf>
    <xf numFmtId="0" fontId="10" fillId="8" borderId="13"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5" xfId="0" applyFont="1" applyFill="1" applyBorder="1" applyAlignment="1">
      <alignment horizontal="center" vertical="center"/>
    </xf>
    <xf numFmtId="49" fontId="55" fillId="0" borderId="44" xfId="0" applyNumberFormat="1" applyFont="1" applyFill="1" applyBorder="1" applyAlignment="1">
      <alignment horizontal="right" vertical="center"/>
    </xf>
    <xf numFmtId="49" fontId="55" fillId="0" borderId="33" xfId="0" applyNumberFormat="1" applyFont="1" applyFill="1" applyBorder="1" applyAlignment="1">
      <alignment horizontal="right" vertical="center"/>
    </xf>
    <xf numFmtId="0" fontId="40" fillId="8" borderId="22" xfId="0" applyFont="1" applyFill="1" applyBorder="1" applyAlignment="1">
      <alignment horizontal="center" vertical="center"/>
    </xf>
    <xf numFmtId="0" fontId="40" fillId="8" borderId="24" xfId="0" applyFont="1" applyFill="1" applyBorder="1" applyAlignment="1">
      <alignment horizontal="center" vertical="center"/>
    </xf>
    <xf numFmtId="0" fontId="40" fillId="8" borderId="25" xfId="0" applyFont="1" applyFill="1" applyBorder="1" applyAlignment="1">
      <alignment horizontal="center" vertical="center"/>
    </xf>
    <xf numFmtId="0" fontId="40" fillId="8" borderId="49" xfId="0" applyFont="1" applyFill="1" applyBorder="1" applyAlignment="1">
      <alignment horizontal="center" vertical="center"/>
    </xf>
    <xf numFmtId="0" fontId="40" fillId="8" borderId="28" xfId="0" applyFont="1" applyFill="1" applyBorder="1" applyAlignment="1">
      <alignment horizontal="center" vertical="center"/>
    </xf>
    <xf numFmtId="0" fontId="40" fillId="8" borderId="50"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20" xfId="0" applyBorder="1" applyAlignment="1">
      <alignment horizontal="center"/>
    </xf>
    <xf numFmtId="0" fontId="0" fillId="0" borderId="1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58" fillId="0" borderId="48" xfId="0" applyFont="1" applyBorder="1" applyAlignment="1">
      <alignment horizontal="center" vertical="center" wrapText="1"/>
    </xf>
    <xf numFmtId="0" fontId="29" fillId="0" borderId="4" xfId="0" applyFont="1" applyBorder="1" applyAlignment="1">
      <alignment horizontal="center" vertical="center"/>
    </xf>
    <xf numFmtId="0" fontId="29" fillId="5" borderId="4" xfId="0" applyFont="1" applyFill="1" applyBorder="1" applyAlignment="1">
      <alignment horizontal="center" vertical="center" wrapText="1"/>
    </xf>
    <xf numFmtId="164" fontId="24" fillId="9" borderId="4" xfId="0" applyNumberFormat="1" applyFont="1" applyFill="1" applyBorder="1" applyAlignment="1">
      <alignment horizontal="center" vertical="center" wrapText="1"/>
    </xf>
    <xf numFmtId="0" fontId="24" fillId="9" borderId="4" xfId="0" applyFont="1" applyFill="1" applyBorder="1" applyAlignment="1">
      <alignment horizontal="center" vertical="center" wrapText="1"/>
    </xf>
    <xf numFmtId="164" fontId="30" fillId="0" borderId="4" xfId="0" applyNumberFormat="1" applyFont="1" applyFill="1" applyBorder="1" applyAlignment="1">
      <alignment horizontal="justify" vertical="center" wrapText="1"/>
    </xf>
    <xf numFmtId="0" fontId="30" fillId="0" borderId="4" xfId="0" applyFont="1" applyFill="1" applyBorder="1" applyAlignment="1">
      <alignment horizontal="justify" vertical="center" wrapText="1"/>
    </xf>
    <xf numFmtId="0" fontId="29" fillId="0" borderId="4" xfId="0" applyFont="1" applyBorder="1" applyAlignment="1">
      <alignment horizontal="center" vertical="center" wrapText="1"/>
    </xf>
    <xf numFmtId="164" fontId="29" fillId="0" borderId="4" xfId="0" applyNumberFormat="1" applyFont="1" applyBorder="1" applyAlignment="1">
      <alignment horizontal="justify" vertical="center" wrapText="1"/>
    </xf>
    <xf numFmtId="0" fontId="29" fillId="0" borderId="4" xfId="0" applyFont="1" applyBorder="1" applyAlignment="1">
      <alignment horizontal="justify" vertical="center" wrapText="1"/>
    </xf>
    <xf numFmtId="164" fontId="30" fillId="0" borderId="4" xfId="0" applyNumberFormat="1" applyFont="1" applyBorder="1" applyAlignment="1">
      <alignment horizontal="justify" vertical="center" wrapText="1"/>
    </xf>
    <xf numFmtId="0" fontId="30" fillId="0" borderId="4" xfId="0" applyFont="1" applyBorder="1" applyAlignment="1">
      <alignment horizontal="justify" vertical="center" wrapText="1"/>
    </xf>
    <xf numFmtId="0" fontId="24" fillId="0" borderId="4" xfId="0" applyFont="1" applyBorder="1" applyAlignment="1">
      <alignment horizontal="center" vertical="center"/>
    </xf>
    <xf numFmtId="0" fontId="28" fillId="0" borderId="4" xfId="0" applyFont="1" applyBorder="1" applyAlignment="1">
      <alignment horizontal="left" vertical="center"/>
    </xf>
    <xf numFmtId="0" fontId="29" fillId="0" borderId="4" xfId="0" applyFont="1" applyBorder="1" applyAlignment="1">
      <alignment horizontal="left" vertical="center" wrapText="1"/>
    </xf>
    <xf numFmtId="0" fontId="32" fillId="0" borderId="4" xfId="0" applyFont="1" applyBorder="1" applyAlignment="1">
      <alignment horizontal="center"/>
    </xf>
    <xf numFmtId="0" fontId="27" fillId="2" borderId="4" xfId="0" applyFont="1" applyFill="1" applyBorder="1" applyAlignment="1">
      <alignment horizontal="left" vertical="center" wrapText="1"/>
    </xf>
    <xf numFmtId="0" fontId="29" fillId="5" borderId="4" xfId="0" applyFont="1" applyFill="1" applyBorder="1" applyAlignment="1">
      <alignment horizontal="center" vertical="center"/>
    </xf>
    <xf numFmtId="0" fontId="29" fillId="5" borderId="4" xfId="0" applyFont="1" applyFill="1" applyBorder="1" applyAlignment="1">
      <alignment horizontal="left" vertical="center"/>
    </xf>
    <xf numFmtId="0" fontId="29" fillId="8" borderId="4" xfId="0" applyFont="1" applyFill="1" applyBorder="1" applyAlignment="1">
      <alignment horizontal="center" vertical="center" wrapText="1"/>
    </xf>
    <xf numFmtId="0" fontId="24" fillId="5" borderId="4" xfId="0" applyFont="1" applyFill="1" applyBorder="1" applyAlignment="1">
      <alignment horizontal="right" vertical="center" wrapText="1"/>
    </xf>
    <xf numFmtId="0" fontId="25" fillId="2" borderId="4" xfId="0" applyFont="1" applyFill="1" applyBorder="1" applyAlignment="1">
      <alignment horizontal="left" vertical="center" wrapText="1"/>
    </xf>
    <xf numFmtId="0" fontId="30" fillId="0" borderId="4" xfId="0" applyFont="1" applyBorder="1" applyAlignment="1">
      <alignment horizontal="center" vertical="center"/>
    </xf>
    <xf numFmtId="14" fontId="29" fillId="0" borderId="4" xfId="0"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23" fillId="2" borderId="4" xfId="0" applyFont="1" applyFill="1" applyBorder="1" applyAlignment="1">
      <alignment horizontal="center" vertical="center" wrapText="1"/>
    </xf>
    <xf numFmtId="0" fontId="29" fillId="0" borderId="4" xfId="0" applyFont="1" applyBorder="1" applyAlignment="1">
      <alignment horizontal="left" vertical="center"/>
    </xf>
    <xf numFmtId="14" fontId="35" fillId="0" borderId="4" xfId="0" applyNumberFormat="1" applyFont="1" applyFill="1" applyBorder="1" applyAlignment="1">
      <alignment horizontal="center" vertical="center" wrapText="1"/>
    </xf>
    <xf numFmtId="0" fontId="36" fillId="8" borderId="4" xfId="0" applyFont="1" applyFill="1" applyBorder="1" applyAlignment="1">
      <alignment horizontal="center" vertical="center" wrapText="1"/>
    </xf>
    <xf numFmtId="0" fontId="24" fillId="0" borderId="4" xfId="0" applyFont="1" applyBorder="1" applyAlignment="1">
      <alignment horizontal="center" vertical="center" wrapText="1"/>
    </xf>
    <xf numFmtId="0" fontId="0" fillId="0" borderId="16"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16" xfId="0" applyFont="1" applyBorder="1" applyAlignment="1">
      <alignment horizontal="center"/>
    </xf>
    <xf numFmtId="0" fontId="0" fillId="0" borderId="33" xfId="0" applyFont="1" applyBorder="1" applyAlignment="1">
      <alignment horizontal="center"/>
    </xf>
    <xf numFmtId="0" fontId="0" fillId="0" borderId="7" xfId="0" applyBorder="1" applyAlignment="1">
      <alignment horizontal="center"/>
    </xf>
    <xf numFmtId="0" fontId="0" fillId="0" borderId="34" xfId="0" applyBorder="1" applyAlignment="1">
      <alignment horizontal="center"/>
    </xf>
    <xf numFmtId="0" fontId="0" fillId="0" borderId="17" xfId="0" applyBorder="1" applyAlignment="1">
      <alignment horizontal="center"/>
    </xf>
    <xf numFmtId="164" fontId="20" fillId="8" borderId="4" xfId="0" applyNumberFormat="1" applyFont="1" applyFill="1" applyBorder="1" applyAlignment="1">
      <alignment horizontal="center" vertical="center" wrapText="1"/>
    </xf>
    <xf numFmtId="0" fontId="20" fillId="8" borderId="4" xfId="0" applyFont="1" applyFill="1" applyBorder="1" applyAlignment="1">
      <alignment horizontal="center" vertical="center" wrapText="1"/>
    </xf>
    <xf numFmtId="0" fontId="23" fillId="0" borderId="4" xfId="0" applyFont="1" applyBorder="1" applyAlignment="1">
      <alignment horizontal="center" vertical="center"/>
    </xf>
    <xf numFmtId="0" fontId="0" fillId="0" borderId="28" xfId="0" applyBorder="1" applyAlignment="1">
      <alignment horizontal="center"/>
    </xf>
    <xf numFmtId="0" fontId="36" fillId="5" borderId="4" xfId="0" applyFont="1" applyFill="1" applyBorder="1" applyAlignment="1">
      <alignment horizontal="center" vertical="center" wrapText="1"/>
    </xf>
    <xf numFmtId="0" fontId="29" fillId="5" borderId="7" xfId="0" applyFont="1" applyFill="1" applyBorder="1" applyAlignment="1">
      <alignment horizontal="center" vertical="center" wrapText="1"/>
    </xf>
    <xf numFmtId="164" fontId="21" fillId="5" borderId="43" xfId="1" applyFont="1" applyFill="1" applyBorder="1" applyAlignment="1">
      <alignment horizontal="center" vertical="center" wrapText="1"/>
    </xf>
    <xf numFmtId="164" fontId="21" fillId="5" borderId="41" xfId="1" applyFont="1" applyFill="1" applyBorder="1" applyAlignment="1">
      <alignment horizontal="center" vertical="center" wrapText="1"/>
    </xf>
    <xf numFmtId="164" fontId="21" fillId="5" borderId="20" xfId="1" applyFont="1" applyFill="1" applyBorder="1" applyAlignment="1">
      <alignment horizontal="center" vertical="center" wrapText="1"/>
    </xf>
    <xf numFmtId="164" fontId="21" fillId="9" borderId="16" xfId="1" applyFont="1" applyFill="1" applyBorder="1" applyAlignment="1">
      <alignment horizontal="center" vertical="center" wrapText="1"/>
    </xf>
    <xf numFmtId="164" fontId="21" fillId="9" borderId="32" xfId="1" applyFont="1" applyFill="1" applyBorder="1" applyAlignment="1">
      <alignment horizontal="center" vertical="center" wrapText="1"/>
    </xf>
    <xf numFmtId="164" fontId="21" fillId="9" borderId="39" xfId="1" applyFont="1" applyFill="1" applyBorder="1" applyAlignment="1">
      <alignment horizontal="center" vertical="center" wrapText="1"/>
    </xf>
    <xf numFmtId="0" fontId="52" fillId="0" borderId="40" xfId="0" applyFont="1" applyBorder="1" applyAlignment="1">
      <alignment horizontal="right"/>
    </xf>
    <xf numFmtId="0" fontId="52" fillId="0" borderId="41" xfId="0" applyFont="1" applyBorder="1" applyAlignment="1">
      <alignment horizontal="right"/>
    </xf>
    <xf numFmtId="0" fontId="52" fillId="0" borderId="42" xfId="0" applyFont="1" applyBorder="1" applyAlignment="1">
      <alignment horizontal="right"/>
    </xf>
    <xf numFmtId="0" fontId="52" fillId="0" borderId="13" xfId="0" applyFont="1" applyBorder="1" applyAlignment="1">
      <alignment horizontal="right" vertical="center"/>
    </xf>
    <xf numFmtId="0" fontId="52" fillId="0" borderId="4" xfId="0" applyFont="1" applyBorder="1" applyAlignment="1">
      <alignment horizontal="right" vertical="center"/>
    </xf>
    <xf numFmtId="0" fontId="31" fillId="0" borderId="0" xfId="0" applyFont="1" applyAlignment="1">
      <alignment horizontal="center" vertical="center"/>
    </xf>
    <xf numFmtId="0" fontId="39" fillId="0" borderId="29" xfId="0" applyFont="1" applyBorder="1" applyAlignment="1">
      <alignment horizontal="center" vertical="center"/>
    </xf>
    <xf numFmtId="0" fontId="39" fillId="0" borderId="27"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53" xfId="0" applyFont="1" applyBorder="1" applyAlignment="1">
      <alignment horizontal="center" vertical="center"/>
    </xf>
    <xf numFmtId="0" fontId="41" fillId="2" borderId="7" xfId="0" applyFont="1" applyFill="1" applyBorder="1" applyAlignment="1">
      <alignment horizontal="center" vertical="center"/>
    </xf>
    <xf numFmtId="0" fontId="44" fillId="0" borderId="15" xfId="0" applyFont="1" applyBorder="1" applyAlignment="1">
      <alignment horizontal="center" vertical="center"/>
    </xf>
    <xf numFmtId="0" fontId="39" fillId="0" borderId="36" xfId="0" applyFont="1" applyBorder="1" applyAlignment="1">
      <alignment horizontal="center" vertical="center"/>
    </xf>
    <xf numFmtId="0" fontId="39" fillId="0" borderId="13" xfId="0" applyFont="1" applyBorder="1" applyAlignment="1">
      <alignment horizontal="center" vertical="center"/>
    </xf>
    <xf numFmtId="0" fontId="39" fillId="0" borderId="35" xfId="0" applyFont="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7" fillId="0" borderId="53" xfId="0" applyFont="1" applyBorder="1" applyAlignment="1">
      <alignment horizontal="left" vertical="center"/>
    </xf>
    <xf numFmtId="0" fontId="16" fillId="0" borderId="51" xfId="0" applyFont="1" applyBorder="1" applyAlignment="1">
      <alignment horizontal="center" vertical="center"/>
    </xf>
    <xf numFmtId="0" fontId="16" fillId="0" borderId="0" xfId="0" applyFont="1" applyBorder="1" applyAlignment="1">
      <alignment horizontal="center" vertical="center"/>
    </xf>
    <xf numFmtId="0" fontId="42" fillId="0" borderId="51" xfId="0" applyFont="1" applyBorder="1" applyAlignment="1">
      <alignment horizontal="left" vertical="center"/>
    </xf>
    <xf numFmtId="0" fontId="42" fillId="0" borderId="0" xfId="0" applyFont="1" applyBorder="1" applyAlignment="1">
      <alignment horizontal="left" vertical="center"/>
    </xf>
    <xf numFmtId="0" fontId="42" fillId="0" borderId="21" xfId="0" applyFont="1" applyBorder="1" applyAlignment="1">
      <alignment horizontal="left" vertical="center"/>
    </xf>
    <xf numFmtId="0" fontId="42" fillId="0" borderId="53" xfId="0" applyFont="1" applyBorder="1" applyAlignment="1">
      <alignment horizontal="left" vertical="center"/>
    </xf>
    <xf numFmtId="0" fontId="17" fillId="0" borderId="0" xfId="0" applyFont="1" applyBorder="1" applyAlignment="1">
      <alignment horizontal="left" vertical="center"/>
    </xf>
    <xf numFmtId="0" fontId="42" fillId="0" borderId="23" xfId="0" applyFont="1" applyBorder="1" applyAlignment="1">
      <alignment horizontal="left" vertical="center" wrapText="1"/>
    </xf>
    <xf numFmtId="0" fontId="42" fillId="0" borderId="3" xfId="0" applyFont="1" applyBorder="1" applyAlignment="1">
      <alignment horizontal="left" vertical="center" wrapText="1"/>
    </xf>
    <xf numFmtId="0" fontId="42" fillId="0" borderId="23" xfId="0" applyFont="1" applyBorder="1" applyAlignment="1">
      <alignment horizontal="center" vertical="center"/>
    </xf>
    <xf numFmtId="0" fontId="42" fillId="0" borderId="3" xfId="0" applyFont="1" applyBorder="1" applyAlignment="1">
      <alignment horizontal="center" vertical="center"/>
    </xf>
    <xf numFmtId="164" fontId="42" fillId="0" borderId="23" xfId="1" applyFont="1" applyBorder="1" applyAlignment="1">
      <alignment horizontal="center" vertical="center"/>
    </xf>
    <xf numFmtId="164" fontId="42" fillId="0" borderId="3" xfId="1" applyFont="1" applyBorder="1" applyAlignment="1">
      <alignment horizontal="center" vertical="center"/>
    </xf>
    <xf numFmtId="0" fontId="41" fillId="2" borderId="23"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17" fillId="0" borderId="0" xfId="0" applyFont="1" applyBorder="1" applyAlignment="1">
      <alignment vertical="center"/>
    </xf>
    <xf numFmtId="0" fontId="31" fillId="0" borderId="2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39" fillId="5" borderId="26" xfId="0" applyFont="1" applyFill="1" applyBorder="1" applyAlignment="1">
      <alignment horizontal="center" vertical="center" wrapText="1"/>
    </xf>
    <xf numFmtId="0" fontId="39" fillId="5" borderId="31" xfId="0" applyFont="1" applyFill="1" applyBorder="1" applyAlignment="1">
      <alignment horizontal="center" vertical="center" wrapText="1"/>
    </xf>
    <xf numFmtId="0" fontId="39" fillId="5" borderId="45" xfId="0" applyFont="1" applyFill="1" applyBorder="1" applyAlignment="1">
      <alignment horizontal="center" vertical="center" wrapText="1"/>
    </xf>
    <xf numFmtId="0" fontId="42" fillId="2" borderId="13"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41" fillId="5" borderId="11" xfId="0" applyFont="1" applyFill="1" applyBorder="1" applyAlignment="1">
      <alignment horizontal="center" vertical="center"/>
    </xf>
    <xf numFmtId="0" fontId="41" fillId="5" borderId="3" xfId="0" applyFont="1" applyFill="1" applyBorder="1" applyAlignment="1">
      <alignment horizontal="center" vertical="center"/>
    </xf>
    <xf numFmtId="0" fontId="41" fillId="0" borderId="25" xfId="0" applyFont="1" applyBorder="1" applyAlignment="1">
      <alignment horizontal="center" vertical="center"/>
    </xf>
    <xf numFmtId="0" fontId="41" fillId="0" borderId="1" xfId="0" applyFont="1" applyBorder="1" applyAlignment="1">
      <alignment horizontal="center" vertical="center"/>
    </xf>
    <xf numFmtId="0" fontId="41" fillId="0" borderId="22" xfId="0" applyFont="1" applyBorder="1" applyAlignment="1">
      <alignment horizontal="center" vertical="center"/>
    </xf>
    <xf numFmtId="0" fontId="41" fillId="0" borderId="21" xfId="0" applyFont="1" applyBorder="1" applyAlignment="1">
      <alignment horizontal="center" vertical="center"/>
    </xf>
    <xf numFmtId="0" fontId="41" fillId="0" borderId="22"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2" xfId="0" applyFont="1" applyBorder="1" applyAlignment="1">
      <alignment horizontal="center" vertical="center" wrapText="1"/>
    </xf>
    <xf numFmtId="0" fontId="31" fillId="0" borderId="12"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4" xfId="0" applyFont="1" applyBorder="1" applyAlignment="1">
      <alignment horizontal="left"/>
    </xf>
    <xf numFmtId="0" fontId="10" fillId="5" borderId="4" xfId="0" applyFont="1" applyFill="1" applyBorder="1" applyAlignment="1">
      <alignment horizontal="center"/>
    </xf>
    <xf numFmtId="0" fontId="10" fillId="5" borderId="4" xfId="0" applyFont="1" applyFill="1" applyBorder="1" applyAlignment="1">
      <alignment horizontal="center" vertical="center" wrapText="1"/>
    </xf>
    <xf numFmtId="0" fontId="0" fillId="0" borderId="32" xfId="0" applyFont="1" applyBorder="1" applyAlignment="1">
      <alignment horizontal="center"/>
    </xf>
    <xf numFmtId="0" fontId="10" fillId="0" borderId="4" xfId="0" applyFont="1" applyBorder="1" applyAlignment="1">
      <alignment horizontal="center" vertical="center"/>
    </xf>
    <xf numFmtId="0" fontId="5" fillId="2" borderId="0" xfId="0" applyFont="1" applyFill="1" applyAlignment="1">
      <alignment horizontal="justify" vertical="center"/>
    </xf>
    <xf numFmtId="0" fontId="6" fillId="2" borderId="16" xfId="0" applyFont="1" applyFill="1" applyBorder="1" applyAlignment="1">
      <alignment horizontal="justify" vertical="center"/>
    </xf>
    <xf numFmtId="0" fontId="5" fillId="2" borderId="32" xfId="0" applyFont="1" applyFill="1" applyBorder="1" applyAlignment="1">
      <alignment horizontal="justify" vertical="center"/>
    </xf>
    <xf numFmtId="0" fontId="5" fillId="2" borderId="33" xfId="0" applyFont="1" applyFill="1" applyBorder="1" applyAlignment="1">
      <alignment horizontal="justify" vertical="center"/>
    </xf>
    <xf numFmtId="0" fontId="6" fillId="2" borderId="4" xfId="0" applyNumberFormat="1" applyFont="1" applyFill="1" applyBorder="1" applyAlignment="1">
      <alignment horizontal="justify" vertical="center" wrapText="1"/>
    </xf>
    <xf numFmtId="0" fontId="6" fillId="2" borderId="4" xfId="0" applyFont="1" applyFill="1" applyBorder="1" applyAlignment="1">
      <alignment horizontal="justify" vertical="center" wrapText="1"/>
    </xf>
    <xf numFmtId="0" fontId="7" fillId="2" borderId="0" xfId="0" applyFont="1" applyFill="1" applyBorder="1" applyAlignment="1">
      <alignment horizontal="center" vertical="center"/>
    </xf>
  </cellXfs>
  <cellStyles count="4">
    <cellStyle name="Moeda" xfId="1" builtinId="4"/>
    <cellStyle name="Normal" xfId="0" builtinId="0"/>
    <cellStyle name="Porcentagem" xfId="2" builtinId="5"/>
    <cellStyle name="Porcentagem 2" xfId="3"/>
  </cellStyles>
  <dxfs count="0"/>
  <tableStyles count="0" defaultTableStyle="TableStyleMedium2" defaultPivotStyle="PivotStyleLight16"/>
  <colors>
    <mruColors>
      <color rgb="FFFF99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75"/>
  <sheetViews>
    <sheetView view="pageBreakPreview" topLeftCell="A16" zoomScaleNormal="100" zoomScaleSheetLayoutView="100" workbookViewId="0">
      <selection activeCell="D24" sqref="D24"/>
    </sheetView>
  </sheetViews>
  <sheetFormatPr defaultColWidth="9.140625" defaultRowHeight="15" x14ac:dyDescent="0.25"/>
  <cols>
    <col min="1" max="1" width="4.42578125" customWidth="1"/>
    <col min="2" max="2" width="32.85546875" customWidth="1"/>
    <col min="3" max="3" width="23" customWidth="1"/>
    <col min="4" max="4" width="16.7109375" customWidth="1"/>
    <col min="5" max="5" width="16.85546875" customWidth="1"/>
    <col min="6" max="6" width="4.42578125" customWidth="1"/>
    <col min="7" max="7" width="32.85546875" customWidth="1"/>
    <col min="8" max="8" width="23" customWidth="1"/>
    <col min="9" max="9" width="21.42578125" customWidth="1"/>
    <col min="10" max="10" width="19.7109375" customWidth="1"/>
    <col min="11" max="11" width="19.42578125" customWidth="1"/>
    <col min="12" max="12" width="13.85546875" customWidth="1"/>
    <col min="13" max="13" width="17.28515625" customWidth="1"/>
  </cols>
  <sheetData>
    <row r="1" spans="1:11" ht="15.75" customHeight="1" thickBot="1" x14ac:dyDescent="0.3">
      <c r="A1" s="262"/>
      <c r="B1" s="261"/>
      <c r="C1" s="261"/>
      <c r="D1" s="261"/>
      <c r="E1" s="261"/>
      <c r="F1" s="200"/>
    </row>
    <row r="2" spans="1:11" ht="24" customHeight="1" x14ac:dyDescent="0.25">
      <c r="A2" s="262"/>
      <c r="B2" s="263" t="s">
        <v>109</v>
      </c>
      <c r="C2" s="264"/>
      <c r="D2" s="264"/>
      <c r="E2" s="265"/>
      <c r="F2" s="262"/>
      <c r="G2" s="263" t="s">
        <v>109</v>
      </c>
      <c r="H2" s="264"/>
      <c r="I2" s="264"/>
      <c r="J2" s="265"/>
    </row>
    <row r="3" spans="1:11" ht="21" customHeight="1" x14ac:dyDescent="0.25">
      <c r="A3" s="262"/>
      <c r="B3" s="270" t="s">
        <v>361</v>
      </c>
      <c r="C3" s="271"/>
      <c r="D3" s="271"/>
      <c r="E3" s="272"/>
      <c r="F3" s="262"/>
      <c r="G3" s="293" t="s">
        <v>363</v>
      </c>
      <c r="H3" s="294"/>
      <c r="I3" s="294"/>
      <c r="J3" s="295"/>
    </row>
    <row r="4" spans="1:11" ht="26.25" customHeight="1" x14ac:dyDescent="0.25">
      <c r="A4" s="262"/>
      <c r="B4" s="219" t="s">
        <v>99</v>
      </c>
      <c r="C4" s="211" t="s">
        <v>100</v>
      </c>
      <c r="D4" s="220" t="s">
        <v>101</v>
      </c>
      <c r="E4" s="208" t="s">
        <v>102</v>
      </c>
      <c r="F4" s="262"/>
      <c r="G4" s="219" t="s">
        <v>99</v>
      </c>
      <c r="H4" s="211" t="s">
        <v>100</v>
      </c>
      <c r="I4" s="211" t="s">
        <v>101</v>
      </c>
      <c r="J4" s="208" t="s">
        <v>102</v>
      </c>
    </row>
    <row r="5" spans="1:11" x14ac:dyDescent="0.25">
      <c r="A5" s="262"/>
      <c r="B5" s="203" t="s">
        <v>132</v>
      </c>
      <c r="C5" s="72">
        <v>1</v>
      </c>
      <c r="D5" s="71">
        <v>5246.4396773193284</v>
      </c>
      <c r="E5" s="204">
        <f>ROUND(C5*D5,2)</f>
        <v>5246.44</v>
      </c>
      <c r="F5" s="262"/>
      <c r="G5" s="203" t="s">
        <v>132</v>
      </c>
      <c r="H5" s="72">
        <v>1</v>
      </c>
      <c r="I5" s="215">
        <f>ENCARREGADO!F136</f>
        <v>5734.02</v>
      </c>
      <c r="J5" s="216">
        <f>ROUND(H5*I5,2)</f>
        <v>5734.02</v>
      </c>
      <c r="K5" s="209"/>
    </row>
    <row r="6" spans="1:11" x14ac:dyDescent="0.25">
      <c r="A6" s="262"/>
      <c r="B6" s="203" t="s">
        <v>134</v>
      </c>
      <c r="C6" s="72">
        <v>12</v>
      </c>
      <c r="D6" s="71">
        <v>4167.3793876045183</v>
      </c>
      <c r="E6" s="204">
        <f>ROUND(C6*D6,2)</f>
        <v>50008.55</v>
      </c>
      <c r="F6" s="262"/>
      <c r="G6" s="203" t="s">
        <v>134</v>
      </c>
      <c r="H6" s="72">
        <v>12</v>
      </c>
      <c r="I6" s="215">
        <f>GARÇOM!F136</f>
        <v>4581.43</v>
      </c>
      <c r="J6" s="216">
        <f>ROUND(H6*I6,2)</f>
        <v>54977.16</v>
      </c>
      <c r="K6" s="209"/>
    </row>
    <row r="7" spans="1:11" x14ac:dyDescent="0.25">
      <c r="A7" s="262"/>
      <c r="B7" s="203" t="s">
        <v>135</v>
      </c>
      <c r="C7" s="72">
        <v>3</v>
      </c>
      <c r="D7" s="71">
        <v>4169.2502872016512</v>
      </c>
      <c r="E7" s="204">
        <f>ROUND(C7*D7,2)</f>
        <v>12507.75</v>
      </c>
      <c r="F7" s="262"/>
      <c r="G7" s="203" t="s">
        <v>135</v>
      </c>
      <c r="H7" s="72">
        <v>3</v>
      </c>
      <c r="I7" s="215">
        <f>GARÇONETE!F136</f>
        <v>4583.4799999999996</v>
      </c>
      <c r="J7" s="216">
        <f>ROUND(H7*I7,2)</f>
        <v>13750.44</v>
      </c>
      <c r="K7" s="209"/>
    </row>
    <row r="8" spans="1:11" x14ac:dyDescent="0.25">
      <c r="A8" s="262"/>
      <c r="B8" s="203" t="s">
        <v>133</v>
      </c>
      <c r="C8" s="72">
        <v>13</v>
      </c>
      <c r="D8" s="71">
        <v>3158.4771229597927</v>
      </c>
      <c r="E8" s="204">
        <f>ROUND(C8*D8,2)</f>
        <v>41060.199999999997</v>
      </c>
      <c r="F8" s="262"/>
      <c r="G8" s="203" t="s">
        <v>133</v>
      </c>
      <c r="H8" s="72">
        <v>13</v>
      </c>
      <c r="I8" s="215">
        <f>COPEIRA!F136</f>
        <v>3489.2351623972131</v>
      </c>
      <c r="J8" s="216">
        <f>ROUND(H8*I8,2)</f>
        <v>45360.06</v>
      </c>
      <c r="K8" s="209"/>
    </row>
    <row r="9" spans="1:11" x14ac:dyDescent="0.25">
      <c r="A9" s="262"/>
      <c r="B9" s="203" t="s">
        <v>182</v>
      </c>
      <c r="C9" s="72">
        <v>1</v>
      </c>
      <c r="D9" s="71">
        <v>3136.5221034470565</v>
      </c>
      <c r="E9" s="204">
        <f>ROUND(C9*D9,2)</f>
        <v>3136.52</v>
      </c>
      <c r="F9" s="262"/>
      <c r="G9" s="203" t="s">
        <v>182</v>
      </c>
      <c r="H9" s="72">
        <v>1</v>
      </c>
      <c r="I9" s="215">
        <f>'AUX. OP. SERVIÇOS GERAIS'!F136</f>
        <v>3467.1451623972134</v>
      </c>
      <c r="J9" s="216">
        <f>ROUND(H9*I9,2)</f>
        <v>3467.15</v>
      </c>
      <c r="K9" s="209"/>
    </row>
    <row r="10" spans="1:11" x14ac:dyDescent="0.25">
      <c r="A10" s="262"/>
      <c r="B10" s="273" t="s">
        <v>98</v>
      </c>
      <c r="C10" s="274"/>
      <c r="D10" s="274"/>
      <c r="E10" s="210">
        <f>SUM(E4:E9)</f>
        <v>111959.46</v>
      </c>
      <c r="F10" s="262"/>
      <c r="G10" s="273" t="s">
        <v>98</v>
      </c>
      <c r="H10" s="274"/>
      <c r="I10" s="274"/>
      <c r="J10" s="217">
        <f>SUM(J4:J9)</f>
        <v>123288.83</v>
      </c>
      <c r="K10" s="209"/>
    </row>
    <row r="11" spans="1:11" x14ac:dyDescent="0.25">
      <c r="A11" s="262"/>
      <c r="B11" s="266" t="s">
        <v>103</v>
      </c>
      <c r="C11" s="267"/>
      <c r="D11" s="267"/>
      <c r="E11" s="4">
        <f>E10</f>
        <v>111959.46</v>
      </c>
      <c r="F11" s="262"/>
      <c r="G11" s="266" t="s">
        <v>103</v>
      </c>
      <c r="H11" s="267"/>
      <c r="I11" s="267"/>
      <c r="J11" s="218">
        <f>J10</f>
        <v>123288.83</v>
      </c>
      <c r="K11" s="209"/>
    </row>
    <row r="12" spans="1:11" x14ac:dyDescent="0.25">
      <c r="A12" s="262"/>
      <c r="B12" s="266" t="s">
        <v>104</v>
      </c>
      <c r="C12" s="267"/>
      <c r="D12" s="267"/>
      <c r="E12" s="4">
        <f>E11*12</f>
        <v>1343513.52</v>
      </c>
      <c r="F12" s="262"/>
      <c r="G12" s="266" t="s">
        <v>104</v>
      </c>
      <c r="H12" s="267"/>
      <c r="I12" s="267"/>
      <c r="J12" s="218">
        <f>J11*12</f>
        <v>1479465.96</v>
      </c>
      <c r="K12" s="209"/>
    </row>
    <row r="13" spans="1:11" ht="11.25" customHeight="1" x14ac:dyDescent="0.25">
      <c r="A13" s="262"/>
      <c r="B13" s="284"/>
      <c r="C13" s="285"/>
      <c r="D13" s="285"/>
      <c r="E13" s="286"/>
      <c r="F13" s="262"/>
      <c r="G13" s="287"/>
      <c r="H13" s="288"/>
      <c r="I13" s="288"/>
      <c r="J13" s="289"/>
      <c r="K13" s="209"/>
    </row>
    <row r="14" spans="1:11" ht="22.5" customHeight="1" x14ac:dyDescent="0.25">
      <c r="A14" s="262"/>
      <c r="B14" s="270" t="s">
        <v>176</v>
      </c>
      <c r="C14" s="271"/>
      <c r="D14" s="271"/>
      <c r="E14" s="272"/>
      <c r="F14" s="262"/>
      <c r="G14" s="270" t="s">
        <v>176</v>
      </c>
      <c r="H14" s="271"/>
      <c r="I14" s="271"/>
      <c r="J14" s="272"/>
      <c r="K14" s="209"/>
    </row>
    <row r="15" spans="1:11" x14ac:dyDescent="0.25">
      <c r="A15" s="262"/>
      <c r="B15" s="202" t="s">
        <v>117</v>
      </c>
      <c r="C15" s="201" t="s">
        <v>177</v>
      </c>
      <c r="D15" s="201" t="s">
        <v>178</v>
      </c>
      <c r="E15" s="281"/>
      <c r="F15" s="262"/>
      <c r="G15" s="202" t="s">
        <v>117</v>
      </c>
      <c r="H15" s="201" t="s">
        <v>177</v>
      </c>
      <c r="I15" s="201" t="s">
        <v>178</v>
      </c>
      <c r="J15" s="278"/>
      <c r="K15" s="209"/>
    </row>
    <row r="16" spans="1:11" ht="15" customHeight="1" x14ac:dyDescent="0.25">
      <c r="A16" s="262"/>
      <c r="B16" s="203" t="s">
        <v>179</v>
      </c>
      <c r="C16" s="221">
        <f>E11</f>
        <v>111959.46</v>
      </c>
      <c r="D16" s="71">
        <f>C16*12</f>
        <v>1343513.52</v>
      </c>
      <c r="E16" s="282"/>
      <c r="F16" s="262"/>
      <c r="G16" s="203" t="s">
        <v>179</v>
      </c>
      <c r="H16" s="221">
        <f>J11</f>
        <v>123288.83</v>
      </c>
      <c r="I16" s="71">
        <f>H16*12</f>
        <v>1479465.96</v>
      </c>
      <c r="J16" s="279"/>
      <c r="K16" s="209"/>
    </row>
    <row r="17" spans="1:13" ht="15.75" customHeight="1" x14ac:dyDescent="0.25">
      <c r="A17" s="262"/>
      <c r="B17" s="203" t="s">
        <v>180</v>
      </c>
      <c r="C17" s="221">
        <v>13293.904</v>
      </c>
      <c r="D17" s="71">
        <f>C17*12</f>
        <v>159526.848</v>
      </c>
      <c r="E17" s="282"/>
      <c r="F17" s="262"/>
      <c r="G17" s="203" t="s">
        <v>180</v>
      </c>
      <c r="H17" s="221">
        <f>MATERIAL!G57</f>
        <v>13293.9</v>
      </c>
      <c r="I17" s="71">
        <f>H17*12</f>
        <v>159526.79999999999</v>
      </c>
      <c r="J17" s="279"/>
      <c r="K17" s="2"/>
    </row>
    <row r="18" spans="1:13" ht="15.75" customHeight="1" thickBot="1" x14ac:dyDescent="0.3">
      <c r="A18" s="262"/>
      <c r="B18" s="205" t="s">
        <v>181</v>
      </c>
      <c r="C18" s="206">
        <f>SUM(C16:C17)</f>
        <v>125253.364</v>
      </c>
      <c r="D18" s="206">
        <f>SUM(D16:D17)</f>
        <v>1503040.368</v>
      </c>
      <c r="E18" s="283"/>
      <c r="F18" s="262"/>
      <c r="G18" s="205" t="s">
        <v>181</v>
      </c>
      <c r="H18" s="206">
        <f>SUM(H16:H17)</f>
        <v>136582.73000000001</v>
      </c>
      <c r="I18" s="206">
        <f>SUM(I16:I17)</f>
        <v>1638992.76</v>
      </c>
      <c r="J18" s="280"/>
      <c r="K18" s="2"/>
      <c r="L18" s="66"/>
    </row>
    <row r="19" spans="1:13" ht="9" customHeight="1" thickBot="1" x14ac:dyDescent="0.3">
      <c r="A19" s="262"/>
      <c r="B19" s="275"/>
      <c r="C19" s="276"/>
      <c r="D19" s="276"/>
      <c r="E19" s="277"/>
      <c r="F19" s="262"/>
      <c r="G19" s="290"/>
      <c r="H19" s="291"/>
      <c r="I19" s="291"/>
      <c r="J19" s="292"/>
    </row>
    <row r="20" spans="1:13" x14ac:dyDescent="0.25">
      <c r="A20" s="262"/>
      <c r="B20" s="263" t="s">
        <v>109</v>
      </c>
      <c r="C20" s="264"/>
      <c r="D20" s="264"/>
      <c r="E20" s="265"/>
      <c r="F20" s="262"/>
      <c r="G20" s="298" t="s">
        <v>366</v>
      </c>
      <c r="H20" s="299"/>
      <c r="I20" s="299"/>
      <c r="J20" s="300"/>
      <c r="K20" s="22"/>
      <c r="L20" s="22"/>
      <c r="M20" s="22"/>
    </row>
    <row r="21" spans="1:13" ht="12" customHeight="1" x14ac:dyDescent="0.25">
      <c r="A21" s="262"/>
      <c r="B21" s="270"/>
      <c r="C21" s="271"/>
      <c r="D21" s="271"/>
      <c r="E21" s="272"/>
      <c r="F21" s="262"/>
      <c r="G21" s="301"/>
      <c r="H21" s="302"/>
      <c r="I21" s="302"/>
      <c r="J21" s="303"/>
      <c r="K21" s="64"/>
      <c r="L21" s="65"/>
      <c r="M21" s="21"/>
    </row>
    <row r="22" spans="1:13" ht="22.5" customHeight="1" x14ac:dyDescent="0.25">
      <c r="A22" s="262"/>
      <c r="B22" s="270" t="s">
        <v>362</v>
      </c>
      <c r="C22" s="271"/>
      <c r="D22" s="271"/>
      <c r="E22" s="272"/>
      <c r="F22" s="262"/>
      <c r="G22" s="225" t="s">
        <v>242</v>
      </c>
      <c r="H22" s="212" t="s">
        <v>244</v>
      </c>
      <c r="I22" s="212" t="s">
        <v>244</v>
      </c>
      <c r="J22" s="226"/>
      <c r="K22" s="64"/>
      <c r="L22" s="65"/>
      <c r="M22" s="21"/>
    </row>
    <row r="23" spans="1:13" ht="30" x14ac:dyDescent="0.25">
      <c r="A23" s="262"/>
      <c r="B23" s="224" t="s">
        <v>99</v>
      </c>
      <c r="C23" s="211" t="s">
        <v>100</v>
      </c>
      <c r="D23" s="207" t="s">
        <v>101</v>
      </c>
      <c r="E23" s="208" t="s">
        <v>102</v>
      </c>
      <c r="F23" s="262"/>
      <c r="G23" s="227"/>
      <c r="H23" s="212" t="s">
        <v>243</v>
      </c>
      <c r="I23" s="212" t="s">
        <v>240</v>
      </c>
      <c r="J23" s="226"/>
      <c r="K23" s="64"/>
      <c r="L23" s="65"/>
      <c r="M23" s="21"/>
    </row>
    <row r="24" spans="1:13" x14ac:dyDescent="0.25">
      <c r="A24" s="262"/>
      <c r="B24" s="203" t="s">
        <v>132</v>
      </c>
      <c r="C24" s="72">
        <v>1</v>
      </c>
      <c r="D24" s="71">
        <f>ENCARREGADO!D136</f>
        <v>5625.0109706954254</v>
      </c>
      <c r="E24" s="204">
        <f>ROUND(C24*D24,2)</f>
        <v>5625.01</v>
      </c>
      <c r="F24" s="262"/>
      <c r="G24" s="228" t="s">
        <v>245</v>
      </c>
      <c r="H24" s="213">
        <f>C35</f>
        <v>120266.68000000001</v>
      </c>
      <c r="I24" s="252">
        <f>J10</f>
        <v>123288.83</v>
      </c>
      <c r="J24" s="226"/>
      <c r="K24" s="64"/>
      <c r="L24" s="65"/>
      <c r="M24" s="21"/>
    </row>
    <row r="25" spans="1:13" x14ac:dyDescent="0.25">
      <c r="A25" s="262"/>
      <c r="B25" s="203" t="s">
        <v>134</v>
      </c>
      <c r="C25" s="72">
        <v>12</v>
      </c>
      <c r="D25" s="71">
        <f>GARÇOM!D136</f>
        <v>4472.8388566267486</v>
      </c>
      <c r="E25" s="204">
        <f>ROUND(C25*D25,2)</f>
        <v>53674.07</v>
      </c>
      <c r="F25" s="262"/>
      <c r="G25" s="228" t="s">
        <v>246</v>
      </c>
      <c r="H25" s="213">
        <f>C36</f>
        <v>13293.904</v>
      </c>
      <c r="I25" s="252">
        <f>H25</f>
        <v>13293.904</v>
      </c>
      <c r="J25" s="226"/>
      <c r="K25" s="64"/>
      <c r="L25" s="65"/>
      <c r="M25" s="21"/>
    </row>
    <row r="26" spans="1:13" x14ac:dyDescent="0.25">
      <c r="A26" s="262"/>
      <c r="B26" s="203" t="s">
        <v>135</v>
      </c>
      <c r="C26" s="72">
        <v>3</v>
      </c>
      <c r="D26" s="71">
        <f>GARÇONETE!D136</f>
        <v>4474.8260708205707</v>
      </c>
      <c r="E26" s="204">
        <f>ROUND(C26*D26,2)</f>
        <v>13424.48</v>
      </c>
      <c r="F26" s="262"/>
      <c r="G26" s="227"/>
      <c r="H26" s="214">
        <f>SUM(H24:H25)</f>
        <v>133560.584</v>
      </c>
      <c r="I26" s="253">
        <f>SUM(I24:I25)</f>
        <v>136582.734</v>
      </c>
      <c r="J26" s="226"/>
      <c r="K26" s="64"/>
      <c r="L26" s="65"/>
      <c r="M26" s="21"/>
    </row>
    <row r="27" spans="1:13" x14ac:dyDescent="0.25">
      <c r="A27" s="262"/>
      <c r="B27" s="203" t="s">
        <v>133</v>
      </c>
      <c r="C27" s="72">
        <v>13</v>
      </c>
      <c r="D27" s="71">
        <f>COPEIRA!D136</f>
        <v>3397.5124992487631</v>
      </c>
      <c r="E27" s="204">
        <f>ROUND(C27*D27,2)</f>
        <v>44167.66</v>
      </c>
      <c r="F27" s="262"/>
      <c r="G27" s="296" t="s">
        <v>241</v>
      </c>
      <c r="H27" s="297"/>
      <c r="I27" s="254">
        <f>I26-H26</f>
        <v>3022.1499999999942</v>
      </c>
      <c r="J27" s="226"/>
      <c r="K27" s="64"/>
      <c r="L27" s="65"/>
      <c r="M27" s="21"/>
    </row>
    <row r="28" spans="1:13" x14ac:dyDescent="0.25">
      <c r="A28" s="262"/>
      <c r="B28" s="203" t="s">
        <v>182</v>
      </c>
      <c r="C28" s="72">
        <v>1</v>
      </c>
      <c r="D28" s="71">
        <f>'AUX. OP. SERVIÇOS GERAIS'!D136</f>
        <v>3375.4554678991744</v>
      </c>
      <c r="E28" s="204">
        <f>ROUND(C28*D28,2)</f>
        <v>3375.46</v>
      </c>
      <c r="F28" s="262"/>
      <c r="G28" s="229"/>
      <c r="H28" s="222"/>
      <c r="I28" s="222"/>
      <c r="J28" s="230"/>
    </row>
    <row r="29" spans="1:13" x14ac:dyDescent="0.25">
      <c r="A29" s="262"/>
      <c r="B29" s="273" t="s">
        <v>98</v>
      </c>
      <c r="C29" s="274"/>
      <c r="D29" s="274"/>
      <c r="E29" s="210">
        <f>SUM(E23:E28)</f>
        <v>120266.68000000001</v>
      </c>
      <c r="F29" s="262"/>
      <c r="G29" s="237" t="s">
        <v>364</v>
      </c>
      <c r="H29" s="213">
        <f>I27*8</f>
        <v>24177.199999999953</v>
      </c>
      <c r="I29" s="223"/>
      <c r="J29" s="232"/>
    </row>
    <row r="30" spans="1:13" x14ac:dyDescent="0.25">
      <c r="A30" s="262"/>
      <c r="B30" s="266" t="s">
        <v>103</v>
      </c>
      <c r="C30" s="267"/>
      <c r="D30" s="267"/>
      <c r="E30" s="4">
        <f>E29</f>
        <v>120266.68000000001</v>
      </c>
      <c r="F30" s="262"/>
      <c r="G30" s="231" t="s">
        <v>365</v>
      </c>
      <c r="H30" s="213">
        <f>I27/30*5</f>
        <v>503.6916666666657</v>
      </c>
      <c r="I30" s="223"/>
      <c r="J30" s="232"/>
    </row>
    <row r="31" spans="1:13" x14ac:dyDescent="0.25">
      <c r="A31" s="262"/>
      <c r="B31" s="268" t="s">
        <v>104</v>
      </c>
      <c r="C31" s="269"/>
      <c r="D31" s="269"/>
      <c r="E31" s="4">
        <f>E30*12</f>
        <v>1443200.1600000001</v>
      </c>
      <c r="F31" s="262"/>
      <c r="G31" s="233"/>
      <c r="H31" s="234">
        <f>SUM(H29:H30)</f>
        <v>24680.891666666619</v>
      </c>
      <c r="I31" s="235"/>
      <c r="J31" s="236"/>
    </row>
    <row r="32" spans="1:13" ht="10.5" customHeight="1" thickBot="1" x14ac:dyDescent="0.3">
      <c r="A32" s="262"/>
      <c r="B32" s="307"/>
      <c r="C32" s="308"/>
      <c r="D32" s="308"/>
      <c r="E32" s="309"/>
      <c r="F32" s="262"/>
      <c r="G32" s="304"/>
      <c r="H32" s="305"/>
      <c r="I32" s="305"/>
      <c r="J32" s="306"/>
    </row>
    <row r="33" spans="1:11" ht="19.5" customHeight="1" x14ac:dyDescent="0.25">
      <c r="A33" s="262"/>
      <c r="B33" s="270" t="s">
        <v>176</v>
      </c>
      <c r="C33" s="271"/>
      <c r="D33" s="271"/>
      <c r="E33" s="272"/>
      <c r="F33" s="262"/>
    </row>
    <row r="34" spans="1:11" x14ac:dyDescent="0.25">
      <c r="A34" s="262"/>
      <c r="B34" s="202" t="s">
        <v>117</v>
      </c>
      <c r="C34" s="201" t="s">
        <v>177</v>
      </c>
      <c r="D34" s="201" t="s">
        <v>178</v>
      </c>
      <c r="E34" s="278"/>
      <c r="F34" s="262"/>
      <c r="K34" s="66"/>
    </row>
    <row r="35" spans="1:11" x14ac:dyDescent="0.25">
      <c r="A35" s="262"/>
      <c r="B35" s="203" t="s">
        <v>179</v>
      </c>
      <c r="C35" s="221">
        <f>E30</f>
        <v>120266.68000000001</v>
      </c>
      <c r="D35" s="71">
        <f>C35*12</f>
        <v>1443200.1600000001</v>
      </c>
      <c r="E35" s="279"/>
      <c r="F35" s="262"/>
      <c r="I35" s="2"/>
    </row>
    <row r="36" spans="1:11" x14ac:dyDescent="0.25">
      <c r="A36" s="262"/>
      <c r="B36" s="203" t="s">
        <v>180</v>
      </c>
      <c r="C36" s="221">
        <v>13293.904</v>
      </c>
      <c r="D36" s="71">
        <f>C36*12</f>
        <v>159526.848</v>
      </c>
      <c r="E36" s="279"/>
      <c r="F36" s="262"/>
    </row>
    <row r="37" spans="1:11" ht="15.75" thickBot="1" x14ac:dyDescent="0.3">
      <c r="A37" s="262"/>
      <c r="B37" s="205" t="s">
        <v>181</v>
      </c>
      <c r="C37" s="206">
        <f>SUM(C35:C36)</f>
        <v>133560.584</v>
      </c>
      <c r="D37" s="206">
        <f>SUM(D35:D36) - 0.05</f>
        <v>1602726.9580000001</v>
      </c>
      <c r="E37" s="280"/>
      <c r="F37" s="262"/>
    </row>
    <row r="39" spans="1:11" x14ac:dyDescent="0.25">
      <c r="D39" s="67"/>
    </row>
    <row r="40" spans="1:11" x14ac:dyDescent="0.25">
      <c r="D40" s="67"/>
    </row>
    <row r="41" spans="1:11" x14ac:dyDescent="0.25">
      <c r="D41" s="68"/>
    </row>
    <row r="46" spans="1:11" s="3" customFormat="1" x14ac:dyDescent="0.25">
      <c r="F46"/>
    </row>
    <row r="47" spans="1:11" x14ac:dyDescent="0.25">
      <c r="F47" s="3"/>
    </row>
    <row r="74" spans="4:4" x14ac:dyDescent="0.25">
      <c r="D74" s="3"/>
    </row>
    <row r="75" spans="4:4" x14ac:dyDescent="0.25">
      <c r="D75" s="3"/>
    </row>
  </sheetData>
  <mergeCells count="32">
    <mergeCell ref="G14:J14"/>
    <mergeCell ref="B13:E13"/>
    <mergeCell ref="G13:J13"/>
    <mergeCell ref="J15:J18"/>
    <mergeCell ref="G19:J19"/>
    <mergeCell ref="F2:F37"/>
    <mergeCell ref="G2:J2"/>
    <mergeCell ref="G3:J3"/>
    <mergeCell ref="G10:I10"/>
    <mergeCell ref="G11:I11"/>
    <mergeCell ref="G12:I12"/>
    <mergeCell ref="G27:H27"/>
    <mergeCell ref="G20:J21"/>
    <mergeCell ref="G32:J32"/>
    <mergeCell ref="B14:E14"/>
    <mergeCell ref="B32:E32"/>
    <mergeCell ref="B1:E1"/>
    <mergeCell ref="A1:A37"/>
    <mergeCell ref="B2:E2"/>
    <mergeCell ref="B30:D30"/>
    <mergeCell ref="B31:D31"/>
    <mergeCell ref="B20:E21"/>
    <mergeCell ref="B29:D29"/>
    <mergeCell ref="B19:E19"/>
    <mergeCell ref="B3:E3"/>
    <mergeCell ref="B22:E22"/>
    <mergeCell ref="B12:D12"/>
    <mergeCell ref="B11:D11"/>
    <mergeCell ref="B10:D10"/>
    <mergeCell ref="E34:E37"/>
    <mergeCell ref="B33:E33"/>
    <mergeCell ref="E15:E18"/>
  </mergeCells>
  <printOptions horizontalCentered="1"/>
  <pageMargins left="0.6692913385826772" right="0.6692913385826772" top="2.0472440944881889" bottom="1.2598425196850394" header="0.19685039370078741" footer="0.19685039370078741"/>
  <pageSetup paperSize="9" scale="71" orientation="portrait" r:id="rId1"/>
  <colBreaks count="1" manualBreakCount="1">
    <brk id="5" max="1048575"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7:G24"/>
  <sheetViews>
    <sheetView workbookViewId="0">
      <selection activeCell="F27" sqref="F27"/>
    </sheetView>
  </sheetViews>
  <sheetFormatPr defaultRowHeight="15" x14ac:dyDescent="0.25"/>
  <cols>
    <col min="1" max="1" width="24.7109375" bestFit="1" customWidth="1"/>
    <col min="2" max="2" width="14.28515625" bestFit="1" customWidth="1"/>
    <col min="3" max="3" width="18" bestFit="1" customWidth="1"/>
    <col min="4" max="4" width="15.85546875" bestFit="1" customWidth="1"/>
    <col min="5" max="6" width="17.42578125" customWidth="1"/>
    <col min="7" max="7" width="15" customWidth="1"/>
  </cols>
  <sheetData>
    <row r="7" spans="1:7" x14ac:dyDescent="0.25">
      <c r="A7" s="271" t="s">
        <v>109</v>
      </c>
      <c r="B7" s="271"/>
      <c r="C7" s="271"/>
      <c r="D7" s="271"/>
      <c r="E7" s="271"/>
      <c r="F7" s="271"/>
    </row>
    <row r="8" spans="1:7" x14ac:dyDescent="0.25">
      <c r="A8" s="271"/>
      <c r="B8" s="271"/>
      <c r="C8" s="271"/>
      <c r="D8" s="271"/>
      <c r="E8" s="271"/>
      <c r="F8" s="271"/>
    </row>
    <row r="9" spans="1:7" ht="52.5" customHeight="1" x14ac:dyDescent="0.25">
      <c r="A9" s="434" t="str">
        <f>'AFERIÇÃO CAC'!B23</f>
        <v>Categoria Funcional</v>
      </c>
      <c r="B9" s="434" t="str">
        <f>'AFERIÇÃO CAC'!C23</f>
        <v>Quantidade</v>
      </c>
      <c r="C9" s="432" t="s">
        <v>370</v>
      </c>
      <c r="D9" s="432"/>
      <c r="E9" s="432" t="s">
        <v>371</v>
      </c>
      <c r="F9" s="432"/>
    </row>
    <row r="10" spans="1:7" x14ac:dyDescent="0.25">
      <c r="A10" s="434"/>
      <c r="B10" s="434"/>
      <c r="C10" s="207" t="str">
        <f>'AFERIÇÃO CAC'!D23</f>
        <v>Preço Unitário (R$)</v>
      </c>
      <c r="D10" s="211" t="str">
        <f>'AFERIÇÃO CAC'!E23</f>
        <v>Preço Parcial</v>
      </c>
      <c r="E10" s="211" t="s">
        <v>101</v>
      </c>
      <c r="F10" s="211" t="s">
        <v>102</v>
      </c>
    </row>
    <row r="11" spans="1:7" x14ac:dyDescent="0.25">
      <c r="A11" s="256" t="str">
        <f>'AFERIÇÃO CAC'!B24</f>
        <v>Encarregado</v>
      </c>
      <c r="B11" s="251">
        <f>'AFERIÇÃO CAC'!C24</f>
        <v>1</v>
      </c>
      <c r="C11" s="71">
        <f>'AFERIÇÃO CAC'!D24</f>
        <v>5625.0109706954254</v>
      </c>
      <c r="D11" s="257">
        <f>'AFERIÇÃO CAC'!E24</f>
        <v>5625.01</v>
      </c>
      <c r="E11" s="215">
        <f>'AFERIÇÃO CAC'!I5</f>
        <v>5734.02</v>
      </c>
      <c r="F11" s="215">
        <f>'AFERIÇÃO CAC'!J5</f>
        <v>5734.02</v>
      </c>
      <c r="G11" s="66"/>
    </row>
    <row r="12" spans="1:7" x14ac:dyDescent="0.25">
      <c r="A12" s="256" t="str">
        <f>'AFERIÇÃO CAC'!B25</f>
        <v>Garçom</v>
      </c>
      <c r="B12" s="251">
        <f>'AFERIÇÃO CAC'!C25</f>
        <v>12</v>
      </c>
      <c r="C12" s="71">
        <f>'AFERIÇÃO CAC'!D25</f>
        <v>4472.8388566267486</v>
      </c>
      <c r="D12" s="257">
        <f>'AFERIÇÃO CAC'!E25</f>
        <v>53674.07</v>
      </c>
      <c r="E12" s="215">
        <f>'AFERIÇÃO CAC'!I6</f>
        <v>4581.43</v>
      </c>
      <c r="F12" s="215">
        <f>'AFERIÇÃO CAC'!J6</f>
        <v>54977.16</v>
      </c>
      <c r="G12" s="66"/>
    </row>
    <row r="13" spans="1:7" x14ac:dyDescent="0.25">
      <c r="A13" s="256" t="str">
        <f>'AFERIÇÃO CAC'!B26</f>
        <v xml:space="preserve">Garçonete </v>
      </c>
      <c r="B13" s="251">
        <f>'AFERIÇÃO CAC'!C26</f>
        <v>3</v>
      </c>
      <c r="C13" s="71">
        <f>'AFERIÇÃO CAC'!D26</f>
        <v>4474.8260708205707</v>
      </c>
      <c r="D13" s="257">
        <f>'AFERIÇÃO CAC'!E26</f>
        <v>13424.48</v>
      </c>
      <c r="E13" s="215">
        <f>'AFERIÇÃO CAC'!I7</f>
        <v>4583.4799999999996</v>
      </c>
      <c r="F13" s="215">
        <f>'AFERIÇÃO CAC'!J7</f>
        <v>13750.44</v>
      </c>
      <c r="G13" s="66"/>
    </row>
    <row r="14" spans="1:7" x14ac:dyDescent="0.25">
      <c r="A14" s="256" t="str">
        <f>'AFERIÇÃO CAC'!B27</f>
        <v>Copeira</v>
      </c>
      <c r="B14" s="251">
        <f>'AFERIÇÃO CAC'!C27</f>
        <v>13</v>
      </c>
      <c r="C14" s="71">
        <f>'AFERIÇÃO CAC'!D27</f>
        <v>3397.5124992487631</v>
      </c>
      <c r="D14" s="257">
        <f>'AFERIÇÃO CAC'!E27</f>
        <v>44167.66</v>
      </c>
      <c r="E14" s="215">
        <f>'AFERIÇÃO CAC'!I8</f>
        <v>3489.2351623972131</v>
      </c>
      <c r="F14" s="215">
        <f>'AFERIÇÃO CAC'!J8</f>
        <v>45360.06</v>
      </c>
      <c r="G14" s="66"/>
    </row>
    <row r="15" spans="1:7" x14ac:dyDescent="0.25">
      <c r="A15" s="256" t="str">
        <f>'AFERIÇÃO CAC'!B28</f>
        <v>Auxiliar de Serviços Gerais</v>
      </c>
      <c r="B15" s="251">
        <f>'AFERIÇÃO CAC'!C28</f>
        <v>1</v>
      </c>
      <c r="C15" s="71">
        <f>'AFERIÇÃO CAC'!D28</f>
        <v>3375.4554678991744</v>
      </c>
      <c r="D15" s="257">
        <f>'AFERIÇÃO CAC'!E28</f>
        <v>3375.46</v>
      </c>
      <c r="E15" s="215">
        <f>'AFERIÇÃO CAC'!I9</f>
        <v>3467.1451623972134</v>
      </c>
      <c r="F15" s="215">
        <f>'AFERIÇÃO CAC'!J9</f>
        <v>3467.15</v>
      </c>
      <c r="G15" s="66"/>
    </row>
    <row r="16" spans="1:7" x14ac:dyDescent="0.25">
      <c r="A16" s="269" t="s">
        <v>368</v>
      </c>
      <c r="B16" s="269"/>
      <c r="C16" s="269"/>
      <c r="D16" s="258">
        <f>SUM(D11:D15)</f>
        <v>120266.68000000001</v>
      </c>
      <c r="E16" s="259"/>
      <c r="F16" s="258">
        <f>SUM(F11:F15)</f>
        <v>123288.83</v>
      </c>
    </row>
    <row r="17" spans="1:7" x14ac:dyDescent="0.25">
      <c r="A17" s="269" t="s">
        <v>369</v>
      </c>
      <c r="B17" s="269"/>
      <c r="C17" s="269"/>
      <c r="D17" s="258">
        <f>D16*12</f>
        <v>1443200.1600000001</v>
      </c>
      <c r="E17" s="260"/>
      <c r="F17" s="258">
        <f>F16*12</f>
        <v>1479465.96</v>
      </c>
      <c r="G17" s="66"/>
    </row>
    <row r="18" spans="1:7" ht="9" customHeight="1" x14ac:dyDescent="0.25">
      <c r="A18" s="433"/>
      <c r="B18" s="433"/>
      <c r="C18" s="433"/>
      <c r="D18" s="433"/>
      <c r="E18" s="433"/>
      <c r="F18" s="433"/>
    </row>
    <row r="19" spans="1:7" x14ac:dyDescent="0.25">
      <c r="A19" s="271" t="s">
        <v>176</v>
      </c>
      <c r="B19" s="271"/>
      <c r="C19" s="271"/>
      <c r="D19" s="271"/>
      <c r="E19" s="271"/>
      <c r="F19" s="271"/>
    </row>
    <row r="20" spans="1:7" ht="41.25" customHeight="1" x14ac:dyDescent="0.25">
      <c r="A20" s="271" t="s">
        <v>117</v>
      </c>
      <c r="B20" s="271"/>
      <c r="C20" s="432" t="str">
        <f>C9</f>
        <v>2º Termo Aditivo - CCT 2017/2017  - de 01/01/2017 até 31/12/2017</v>
      </c>
      <c r="D20" s="432"/>
      <c r="E20" s="432" t="str">
        <f>E9</f>
        <v>1º Termo de Apostilamento - CCT 2018/2018  - de 01/01/2018 até 05/09/2018</v>
      </c>
      <c r="F20" s="432"/>
    </row>
    <row r="21" spans="1:7" x14ac:dyDescent="0.25">
      <c r="A21" s="271"/>
      <c r="B21" s="271"/>
      <c r="C21" s="201" t="s">
        <v>177</v>
      </c>
      <c r="D21" s="201" t="s">
        <v>178</v>
      </c>
      <c r="E21" s="201" t="s">
        <v>177</v>
      </c>
      <c r="F21" s="201" t="s">
        <v>178</v>
      </c>
    </row>
    <row r="22" spans="1:7" x14ac:dyDescent="0.25">
      <c r="A22" s="430" t="s">
        <v>179</v>
      </c>
      <c r="B22" s="430"/>
      <c r="C22" s="221">
        <f>'AFERIÇÃO CAC'!C35</f>
        <v>120266.68000000001</v>
      </c>
      <c r="D22" s="71">
        <f>'AFERIÇÃO CAC'!D35</f>
        <v>1443200.1600000001</v>
      </c>
      <c r="E22" s="221">
        <f>F16</f>
        <v>123288.83</v>
      </c>
      <c r="F22" s="71">
        <f>F17</f>
        <v>1479465.96</v>
      </c>
    </row>
    <row r="23" spans="1:7" x14ac:dyDescent="0.25">
      <c r="A23" s="430" t="s">
        <v>180</v>
      </c>
      <c r="B23" s="430"/>
      <c r="C23" s="221">
        <f>'AFERIÇÃO CAC'!C36</f>
        <v>13293.904</v>
      </c>
      <c r="D23" s="71">
        <f>'AFERIÇÃO CAC'!D36</f>
        <v>159526.848</v>
      </c>
      <c r="E23" s="221">
        <f>ROUND(MATERIAL!G57,2)</f>
        <v>13293.9</v>
      </c>
      <c r="F23" s="71">
        <f>E23*12</f>
        <v>159526.79999999999</v>
      </c>
    </row>
    <row r="24" spans="1:7" x14ac:dyDescent="0.25">
      <c r="A24" s="431" t="s">
        <v>181</v>
      </c>
      <c r="B24" s="431"/>
      <c r="C24" s="255">
        <f>'AFERIÇÃO CAC'!C37</f>
        <v>133560.584</v>
      </c>
      <c r="D24" s="255">
        <f>'AFERIÇÃO CAC'!D37</f>
        <v>1602726.9580000001</v>
      </c>
      <c r="E24" s="255">
        <f>SUM(E22:E23)</f>
        <v>136582.73000000001</v>
      </c>
      <c r="F24" s="255">
        <f>SUM(F22:F23)</f>
        <v>1638992.76</v>
      </c>
    </row>
  </sheetData>
  <mergeCells count="15">
    <mergeCell ref="A22:B22"/>
    <mergeCell ref="A23:B23"/>
    <mergeCell ref="A24:B24"/>
    <mergeCell ref="E9:F9"/>
    <mergeCell ref="A7:F8"/>
    <mergeCell ref="C20:D20"/>
    <mergeCell ref="A20:B21"/>
    <mergeCell ref="E20:F20"/>
    <mergeCell ref="A18:F18"/>
    <mergeCell ref="B9:B10"/>
    <mergeCell ref="A9:A10"/>
    <mergeCell ref="C9:D9"/>
    <mergeCell ref="A19:F19"/>
    <mergeCell ref="A16:C16"/>
    <mergeCell ref="A17:C17"/>
  </mergeCells>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13" zoomScaleNormal="100" zoomScaleSheetLayoutView="100" workbookViewId="0">
      <selection activeCell="C28" sqref="C28"/>
    </sheetView>
  </sheetViews>
  <sheetFormatPr defaultRowHeight="16.5" x14ac:dyDescent="0.25"/>
  <cols>
    <col min="1" max="1" width="2.85546875" style="24" bestFit="1" customWidth="1"/>
    <col min="2" max="2" width="51.42578125" style="24" bestFit="1" customWidth="1"/>
    <col min="3" max="3" width="15.42578125" style="54" bestFit="1" customWidth="1"/>
    <col min="4" max="4" width="69.7109375" style="24" customWidth="1"/>
    <col min="5" max="5" width="40.7109375" style="24" hidden="1" customWidth="1"/>
    <col min="6" max="6" width="26.140625" style="24" customWidth="1"/>
    <col min="7" max="7" width="13.140625" style="24" bestFit="1" customWidth="1"/>
    <col min="8" max="8" width="9.140625" style="24"/>
    <col min="9" max="9" width="13.140625" style="24" bestFit="1" customWidth="1"/>
    <col min="10" max="16384" width="9.140625" style="24"/>
  </cols>
  <sheetData>
    <row r="1" spans="1:5" x14ac:dyDescent="0.25">
      <c r="A1" s="441" t="s">
        <v>183</v>
      </c>
      <c r="B1" s="441"/>
      <c r="C1" s="441"/>
      <c r="D1" s="441"/>
      <c r="E1" s="23"/>
    </row>
    <row r="2" spans="1:5" x14ac:dyDescent="0.25">
      <c r="A2" s="25"/>
      <c r="B2" s="25"/>
      <c r="C2" s="26"/>
      <c r="D2" s="25"/>
      <c r="E2" s="25"/>
    </row>
    <row r="3" spans="1:5" x14ac:dyDescent="0.25">
      <c r="A3" s="436" t="s">
        <v>184</v>
      </c>
      <c r="B3" s="437"/>
      <c r="C3" s="437"/>
      <c r="D3" s="438"/>
      <c r="E3" s="25"/>
    </row>
    <row r="4" spans="1:5" ht="33" x14ac:dyDescent="0.25">
      <c r="A4" s="27" t="s">
        <v>7</v>
      </c>
      <c r="B4" s="28" t="s">
        <v>33</v>
      </c>
      <c r="C4" s="58">
        <v>0.2</v>
      </c>
      <c r="D4" s="28" t="s">
        <v>185</v>
      </c>
      <c r="E4" s="30"/>
    </row>
    <row r="5" spans="1:5" ht="49.5" x14ac:dyDescent="0.25">
      <c r="A5" s="27" t="s">
        <v>9</v>
      </c>
      <c r="B5" s="28" t="s">
        <v>186</v>
      </c>
      <c r="C5" s="58">
        <v>1.4999999999999999E-2</v>
      </c>
      <c r="D5" s="28" t="s">
        <v>187</v>
      </c>
      <c r="E5" s="30"/>
    </row>
    <row r="6" spans="1:5" ht="33" x14ac:dyDescent="0.25">
      <c r="A6" s="27" t="s">
        <v>11</v>
      </c>
      <c r="B6" s="28" t="s">
        <v>188</v>
      </c>
      <c r="C6" s="58">
        <v>0.01</v>
      </c>
      <c r="D6" s="28" t="s">
        <v>189</v>
      </c>
      <c r="E6" s="30"/>
    </row>
    <row r="7" spans="1:5" ht="33" x14ac:dyDescent="0.25">
      <c r="A7" s="27" t="s">
        <v>13</v>
      </c>
      <c r="B7" s="28" t="s">
        <v>36</v>
      </c>
      <c r="C7" s="58">
        <v>2E-3</v>
      </c>
      <c r="D7" s="31" t="s">
        <v>190</v>
      </c>
      <c r="E7" s="32"/>
    </row>
    <row r="8" spans="1:5" ht="49.5" x14ac:dyDescent="0.25">
      <c r="A8" s="27" t="s">
        <v>15</v>
      </c>
      <c r="B8" s="28" t="s">
        <v>191</v>
      </c>
      <c r="C8" s="58">
        <v>2.5000000000000001E-2</v>
      </c>
      <c r="D8" s="19" t="s">
        <v>192</v>
      </c>
      <c r="E8" s="33"/>
    </row>
    <row r="9" spans="1:5" ht="66" x14ac:dyDescent="0.25">
      <c r="A9" s="27" t="s">
        <v>17</v>
      </c>
      <c r="B9" s="28" t="s">
        <v>38</v>
      </c>
      <c r="C9" s="58">
        <v>0.08</v>
      </c>
      <c r="D9" s="28" t="s">
        <v>193</v>
      </c>
      <c r="E9" s="30"/>
    </row>
    <row r="10" spans="1:5" ht="49.5" x14ac:dyDescent="0.25">
      <c r="A10" s="27" t="s">
        <v>19</v>
      </c>
      <c r="B10" s="28" t="s">
        <v>194</v>
      </c>
      <c r="C10" s="59">
        <v>1.66E-2</v>
      </c>
      <c r="D10" s="34" t="s">
        <v>195</v>
      </c>
      <c r="E10" s="35"/>
    </row>
    <row r="11" spans="1:5" ht="49.5" x14ac:dyDescent="0.25">
      <c r="A11" s="27" t="s">
        <v>20</v>
      </c>
      <c r="B11" s="28" t="s">
        <v>39</v>
      </c>
      <c r="C11" s="58">
        <v>6.0000000000000001E-3</v>
      </c>
      <c r="D11" s="28" t="s">
        <v>196</v>
      </c>
      <c r="E11" s="30"/>
    </row>
    <row r="12" spans="1:5" x14ac:dyDescent="0.25">
      <c r="A12" s="439" t="s">
        <v>197</v>
      </c>
      <c r="B12" s="439"/>
      <c r="C12" s="36">
        <f>SUM(C4:C11)</f>
        <v>0.35460000000000008</v>
      </c>
      <c r="D12" s="37"/>
      <c r="E12" s="38"/>
    </row>
    <row r="13" spans="1:5" x14ac:dyDescent="0.25">
      <c r="A13" s="437"/>
      <c r="B13" s="437"/>
      <c r="C13" s="437"/>
      <c r="D13" s="437"/>
      <c r="E13" s="25"/>
    </row>
    <row r="14" spans="1:5" x14ac:dyDescent="0.25">
      <c r="A14" s="436" t="s">
        <v>198</v>
      </c>
      <c r="B14" s="437"/>
      <c r="C14" s="437"/>
      <c r="D14" s="438"/>
      <c r="E14" s="25"/>
    </row>
    <row r="15" spans="1:5" x14ac:dyDescent="0.25">
      <c r="A15" s="27" t="s">
        <v>7</v>
      </c>
      <c r="B15" s="39" t="s">
        <v>199</v>
      </c>
      <c r="C15" s="57">
        <v>8.3299999999999999E-2</v>
      </c>
      <c r="D15" s="45" t="s">
        <v>213</v>
      </c>
      <c r="E15" s="35"/>
    </row>
    <row r="16" spans="1:5" x14ac:dyDescent="0.25">
      <c r="A16" s="27" t="s">
        <v>9</v>
      </c>
      <c r="B16" s="39" t="s">
        <v>199</v>
      </c>
      <c r="C16" s="57">
        <v>2.7799999999999998E-2</v>
      </c>
      <c r="D16" s="45" t="s">
        <v>213</v>
      </c>
      <c r="E16" s="35"/>
    </row>
    <row r="17" spans="1:9" x14ac:dyDescent="0.25">
      <c r="A17" s="27"/>
      <c r="B17" s="28" t="s">
        <v>201</v>
      </c>
      <c r="C17" s="41">
        <f>SUM(C15:C16)</f>
        <v>0.1111</v>
      </c>
      <c r="D17" s="28" t="s">
        <v>202</v>
      </c>
      <c r="E17" s="30"/>
    </row>
    <row r="18" spans="1:9" ht="33" x14ac:dyDescent="0.25">
      <c r="A18" s="27" t="s">
        <v>11</v>
      </c>
      <c r="B18" s="28" t="s">
        <v>203</v>
      </c>
      <c r="C18" s="29">
        <f>C12*C17</f>
        <v>3.9396060000000011E-2</v>
      </c>
      <c r="D18" s="28" t="s">
        <v>204</v>
      </c>
      <c r="E18" s="30"/>
    </row>
    <row r="19" spans="1:9" x14ac:dyDescent="0.25">
      <c r="A19" s="439" t="s">
        <v>197</v>
      </c>
      <c r="B19" s="439"/>
      <c r="C19" s="36">
        <f>SUM(C17:C18)</f>
        <v>0.15049606000000001</v>
      </c>
      <c r="D19" s="37"/>
      <c r="E19" s="38"/>
      <c r="I19" s="42"/>
    </row>
    <row r="20" spans="1:9" s="25" customFormat="1" x14ac:dyDescent="0.25">
      <c r="A20" s="436" t="s">
        <v>44</v>
      </c>
      <c r="B20" s="437"/>
      <c r="C20" s="437"/>
      <c r="D20" s="438"/>
    </row>
    <row r="21" spans="1:9" s="25" customFormat="1" ht="192.75" customHeight="1" x14ac:dyDescent="0.25">
      <c r="A21" s="27" t="s">
        <v>7</v>
      </c>
      <c r="B21" s="39" t="s">
        <v>205</v>
      </c>
      <c r="C21" s="60">
        <v>7.3999999999999999E-4</v>
      </c>
      <c r="D21" s="40" t="s">
        <v>206</v>
      </c>
      <c r="E21" s="35"/>
      <c r="F21" s="43">
        <f>((0.1111*0.007*0.333)*100)</f>
        <v>2.5897410000000006E-2</v>
      </c>
    </row>
    <row r="22" spans="1:9" s="25" customFormat="1" ht="33" x14ac:dyDescent="0.25">
      <c r="A22" s="27" t="s">
        <v>11</v>
      </c>
      <c r="B22" s="28" t="s">
        <v>207</v>
      </c>
      <c r="C22" s="58">
        <f>C12*C21</f>
        <v>2.6240400000000004E-4</v>
      </c>
      <c r="D22" s="28" t="s">
        <v>208</v>
      </c>
      <c r="E22" s="30"/>
    </row>
    <row r="23" spans="1:9" s="25" customFormat="1" x14ac:dyDescent="0.25">
      <c r="A23" s="439" t="s">
        <v>197</v>
      </c>
      <c r="B23" s="439"/>
      <c r="C23" s="36">
        <f>SUM(C21:C22)</f>
        <v>1.0024040000000001E-3</v>
      </c>
      <c r="D23" s="37"/>
      <c r="E23" s="38"/>
    </row>
    <row r="24" spans="1:9" s="25" customFormat="1" x14ac:dyDescent="0.25">
      <c r="A24" s="440" t="s">
        <v>209</v>
      </c>
      <c r="B24" s="440"/>
      <c r="C24" s="440"/>
      <c r="D24" s="440"/>
      <c r="E24" s="44"/>
    </row>
    <row r="25" spans="1:9" s="25" customFormat="1" x14ac:dyDescent="0.25">
      <c r="A25" s="39" t="s">
        <v>7</v>
      </c>
      <c r="B25" s="39" t="s">
        <v>49</v>
      </c>
      <c r="C25" s="58">
        <v>4.1599999999999998E-2</v>
      </c>
      <c r="D25" s="45" t="s">
        <v>200</v>
      </c>
      <c r="E25" s="35">
        <f>1/12</f>
        <v>8.3333333333333329E-2</v>
      </c>
      <c r="F25" s="25">
        <f>((1/12)*0.2)*100</f>
        <v>1.6666666666666667</v>
      </c>
      <c r="G25" s="46">
        <v>0.08</v>
      </c>
      <c r="I25" s="25">
        <f>(30/275)*12.5%*100</f>
        <v>1.3636363636363635</v>
      </c>
    </row>
    <row r="26" spans="1:9" s="25" customFormat="1" x14ac:dyDescent="0.25">
      <c r="A26" s="39" t="s">
        <v>9</v>
      </c>
      <c r="B26" s="47" t="s">
        <v>210</v>
      </c>
      <c r="C26" s="58">
        <v>1.4800000000000001E-2</v>
      </c>
      <c r="D26" s="27" t="s">
        <v>211</v>
      </c>
      <c r="E26" s="25">
        <f>E25*0.162</f>
        <v>1.35E-2</v>
      </c>
      <c r="G26" s="48">
        <v>0.35320000000000001</v>
      </c>
    </row>
    <row r="27" spans="1:9" s="25" customFormat="1" x14ac:dyDescent="0.25">
      <c r="A27" s="39" t="s">
        <v>11</v>
      </c>
      <c r="B27" s="39" t="s">
        <v>212</v>
      </c>
      <c r="C27" s="58">
        <v>2.0799999999999999E-2</v>
      </c>
      <c r="D27" s="45" t="s">
        <v>200</v>
      </c>
      <c r="E27" s="49">
        <f>E26*100</f>
        <v>1.35</v>
      </c>
    </row>
    <row r="28" spans="1:9" s="25" customFormat="1" x14ac:dyDescent="0.25">
      <c r="A28" s="39" t="s">
        <v>13</v>
      </c>
      <c r="B28" s="39" t="s">
        <v>50</v>
      </c>
      <c r="C28" s="29">
        <v>5.9999999999999995E-4</v>
      </c>
      <c r="D28" s="45" t="s">
        <v>213</v>
      </c>
      <c r="E28" s="35"/>
      <c r="F28" s="25">
        <f>((7/30)/12)*0.02*100</f>
        <v>3.888888888888889E-2</v>
      </c>
    </row>
    <row r="29" spans="1:9" s="25" customFormat="1" x14ac:dyDescent="0.25">
      <c r="A29" s="39" t="s">
        <v>15</v>
      </c>
      <c r="B29" s="39" t="s">
        <v>214</v>
      </c>
      <c r="C29" s="29">
        <f>C12*C28</f>
        <v>2.1276000000000004E-4</v>
      </c>
      <c r="D29" s="28" t="s">
        <v>215</v>
      </c>
      <c r="E29" s="30"/>
    </row>
    <row r="30" spans="1:9" s="25" customFormat="1" x14ac:dyDescent="0.25">
      <c r="A30" s="39" t="s">
        <v>17</v>
      </c>
      <c r="B30" s="39" t="s">
        <v>216</v>
      </c>
      <c r="C30" s="58">
        <v>9.7000000000000003E-3</v>
      </c>
      <c r="D30" s="45" t="s">
        <v>213</v>
      </c>
      <c r="E30" s="49"/>
    </row>
    <row r="31" spans="1:9" s="25" customFormat="1" x14ac:dyDescent="0.25">
      <c r="A31" s="27"/>
      <c r="B31" s="27" t="s">
        <v>197</v>
      </c>
      <c r="C31" s="50">
        <f>SUM(C25:C30)</f>
        <v>8.7712760000000001E-2</v>
      </c>
      <c r="D31" s="27"/>
    </row>
    <row r="32" spans="1:9" s="25" customFormat="1" x14ac:dyDescent="0.25">
      <c r="A32" s="440" t="s">
        <v>217</v>
      </c>
      <c r="B32" s="440"/>
      <c r="C32" s="440"/>
      <c r="D32" s="440"/>
      <c r="E32" s="44"/>
    </row>
    <row r="33" spans="1:7" s="25" customFormat="1" ht="17.25" thickBot="1" x14ac:dyDescent="0.3">
      <c r="A33" s="39" t="s">
        <v>7</v>
      </c>
      <c r="B33" s="39" t="s">
        <v>218</v>
      </c>
      <c r="C33" s="1">
        <v>0.1111</v>
      </c>
      <c r="D33" s="40" t="s">
        <v>200</v>
      </c>
      <c r="E33" s="35"/>
      <c r="F33" s="25">
        <f>(1/12)*100</f>
        <v>8.3333333333333321</v>
      </c>
    </row>
    <row r="34" spans="1:7" s="25" customFormat="1" ht="17.25" thickBot="1" x14ac:dyDescent="0.3">
      <c r="A34" s="39" t="s">
        <v>9</v>
      </c>
      <c r="B34" s="39" t="s">
        <v>219</v>
      </c>
      <c r="C34" s="1">
        <v>1.3899999999999999E-2</v>
      </c>
      <c r="D34" s="40" t="s">
        <v>200</v>
      </c>
      <c r="E34" s="49"/>
      <c r="F34" s="25">
        <f>(5.96/30*(1/12))</f>
        <v>1.6555555555555553E-2</v>
      </c>
      <c r="G34" s="25">
        <f>F34*100</f>
        <v>1.6555555555555552</v>
      </c>
    </row>
    <row r="35" spans="1:7" s="25" customFormat="1" ht="17.25" thickBot="1" x14ac:dyDescent="0.3">
      <c r="A35" s="39" t="s">
        <v>11</v>
      </c>
      <c r="B35" s="39" t="s">
        <v>220</v>
      </c>
      <c r="C35" s="7">
        <v>2.1000000000000001E-4</v>
      </c>
      <c r="D35" s="40" t="s">
        <v>200</v>
      </c>
      <c r="E35" s="35"/>
      <c r="F35" s="25">
        <f>((5/30)/12*0.015)*100</f>
        <v>2.0833333333333332E-2</v>
      </c>
    </row>
    <row r="36" spans="1:7" s="25" customFormat="1" ht="17.25" thickBot="1" x14ac:dyDescent="0.3">
      <c r="A36" s="39" t="s">
        <v>13</v>
      </c>
      <c r="B36" s="39" t="s">
        <v>221</v>
      </c>
      <c r="C36" s="7">
        <v>2.8E-3</v>
      </c>
      <c r="D36" s="40" t="s">
        <v>200</v>
      </c>
      <c r="E36" s="35"/>
      <c r="F36" s="25">
        <f>((7/30)/12)*100</f>
        <v>1.9444444444444444</v>
      </c>
    </row>
    <row r="37" spans="1:7" s="25" customFormat="1" ht="17.25" thickBot="1" x14ac:dyDescent="0.3">
      <c r="A37" s="39" t="s">
        <v>15</v>
      </c>
      <c r="B37" s="39" t="s">
        <v>222</v>
      </c>
      <c r="C37" s="1">
        <v>3.3E-3</v>
      </c>
      <c r="D37" s="40" t="s">
        <v>200</v>
      </c>
      <c r="E37" s="35"/>
      <c r="F37" s="25">
        <f>((15/30/12)*0.1)*100</f>
        <v>0.41666666666666669</v>
      </c>
      <c r="G37" s="26" t="s">
        <v>223</v>
      </c>
    </row>
    <row r="38" spans="1:7" s="25" customFormat="1" x14ac:dyDescent="0.25">
      <c r="A38" s="39" t="s">
        <v>17</v>
      </c>
      <c r="B38" s="39" t="s">
        <v>224</v>
      </c>
      <c r="C38" s="29">
        <v>0</v>
      </c>
      <c r="D38" s="27"/>
    </row>
    <row r="39" spans="1:7" s="25" customFormat="1" x14ac:dyDescent="0.25">
      <c r="A39" s="27"/>
      <c r="B39" s="27" t="s">
        <v>201</v>
      </c>
      <c r="C39" s="29">
        <f>SUM(C33:C38)</f>
        <v>0.13130999999999998</v>
      </c>
      <c r="D39" s="27" t="s">
        <v>225</v>
      </c>
    </row>
    <row r="40" spans="1:7" s="25" customFormat="1" ht="33" x14ac:dyDescent="0.25">
      <c r="A40" s="27" t="s">
        <v>19</v>
      </c>
      <c r="B40" s="39" t="s">
        <v>226</v>
      </c>
      <c r="C40" s="29">
        <f>C12*C39</f>
        <v>4.6562526000000007E-2</v>
      </c>
      <c r="D40" s="27" t="s">
        <v>227</v>
      </c>
    </row>
    <row r="41" spans="1:7" s="25" customFormat="1" x14ac:dyDescent="0.25">
      <c r="A41" s="27"/>
      <c r="B41" s="27" t="s">
        <v>197</v>
      </c>
      <c r="C41" s="50">
        <f>SUM(C39:C40)</f>
        <v>0.17787252599999998</v>
      </c>
      <c r="D41" s="27"/>
    </row>
    <row r="42" spans="1:7" s="25" customFormat="1" x14ac:dyDescent="0.25">
      <c r="C42" s="51"/>
    </row>
    <row r="43" spans="1:7" s="25" customFormat="1" x14ac:dyDescent="0.25">
      <c r="B43" s="52" t="s">
        <v>228</v>
      </c>
      <c r="C43" s="53">
        <f>C12+C19+C23+C31+C41</f>
        <v>0.77168375</v>
      </c>
    </row>
    <row r="44" spans="1:7" x14ac:dyDescent="0.25">
      <c r="A44" s="435"/>
      <c r="B44" s="435"/>
      <c r="C44" s="435"/>
      <c r="D44" s="435"/>
    </row>
    <row r="45" spans="1:7" x14ac:dyDescent="0.25">
      <c r="A45" s="435"/>
      <c r="B45" s="435"/>
      <c r="C45" s="435"/>
      <c r="D45" s="435"/>
    </row>
    <row r="46" spans="1:7" x14ac:dyDescent="0.25">
      <c r="A46" s="435"/>
      <c r="B46" s="435"/>
      <c r="C46" s="435"/>
      <c r="D46" s="435"/>
    </row>
    <row r="47" spans="1:7" ht="15" customHeight="1" x14ac:dyDescent="0.25"/>
    <row r="48" spans="1:7" ht="15" customHeight="1" x14ac:dyDescent="0.25"/>
    <row r="49" spans="2:2" ht="15" customHeight="1" x14ac:dyDescent="0.25"/>
    <row r="50" spans="2:2" ht="15" customHeight="1" x14ac:dyDescent="0.25"/>
    <row r="51" spans="2:2" ht="27.75" customHeight="1" x14ac:dyDescent="0.25">
      <c r="B51" s="55"/>
    </row>
    <row r="52" spans="2:2" ht="29.25" customHeight="1" x14ac:dyDescent="0.25">
      <c r="B52" s="56"/>
    </row>
  </sheetData>
  <mergeCells count="13">
    <mergeCell ref="A19:B19"/>
    <mergeCell ref="A1:D1"/>
    <mergeCell ref="A3:D3"/>
    <mergeCell ref="A12:B12"/>
    <mergeCell ref="A13:D13"/>
    <mergeCell ref="A14:D14"/>
    <mergeCell ref="A46:D46"/>
    <mergeCell ref="A20:D20"/>
    <mergeCell ref="A23:B23"/>
    <mergeCell ref="A24:D24"/>
    <mergeCell ref="A32:D32"/>
    <mergeCell ref="A44:D44"/>
    <mergeCell ref="A45:D45"/>
  </mergeCells>
  <pageMargins left="0.51181102362204722" right="0.51181102362204722" top="1.7716535433070868" bottom="0.98425196850393704" header="0.31496062992125984" footer="0.31496062992125984"/>
  <pageSetup paperSize="9" scale="56"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36"/>
  <sheetViews>
    <sheetView tabSelected="1" view="pageBreakPreview" topLeftCell="A82" zoomScaleNormal="100" zoomScaleSheetLayoutView="100" workbookViewId="0">
      <selection activeCell="H88" sqref="H88"/>
    </sheetView>
  </sheetViews>
  <sheetFormatPr defaultRowHeight="15" x14ac:dyDescent="0.25"/>
  <cols>
    <col min="1" max="1" width="3.85546875" customWidth="1"/>
    <col min="2" max="2" width="9.85546875" style="69" customWidth="1"/>
    <col min="3" max="3" width="69.7109375" style="69" customWidth="1"/>
    <col min="4" max="4" width="14.42578125" style="69" customWidth="1"/>
    <col min="5" max="6" width="15.5703125" style="69" customWidth="1"/>
    <col min="7" max="7" width="14.28515625" style="69" customWidth="1"/>
    <col min="8" max="8" width="13.42578125" customWidth="1"/>
    <col min="9" max="9" width="0.140625" customWidth="1"/>
  </cols>
  <sheetData>
    <row r="1" spans="1:7" x14ac:dyDescent="0.25">
      <c r="A1" s="340"/>
      <c r="B1" s="341"/>
      <c r="C1" s="342"/>
      <c r="D1" s="343"/>
      <c r="E1" s="344"/>
      <c r="F1" s="343"/>
      <c r="G1" s="344"/>
    </row>
    <row r="2" spans="1:7" ht="15" customHeight="1" x14ac:dyDescent="0.25">
      <c r="A2" s="345"/>
      <c r="B2" s="329" t="s">
        <v>273</v>
      </c>
      <c r="C2" s="329"/>
      <c r="D2" s="339"/>
      <c r="E2" s="339"/>
      <c r="F2" s="339"/>
      <c r="G2" s="339"/>
    </row>
    <row r="3" spans="1:7" ht="14.25" customHeight="1" x14ac:dyDescent="0.25">
      <c r="A3" s="346"/>
      <c r="B3" s="329"/>
      <c r="C3" s="329"/>
      <c r="D3" s="339"/>
      <c r="E3" s="339"/>
      <c r="F3" s="339"/>
      <c r="G3" s="339"/>
    </row>
    <row r="4" spans="1:7" x14ac:dyDescent="0.25">
      <c r="A4" s="346"/>
      <c r="B4" s="332"/>
      <c r="C4" s="332"/>
      <c r="D4" s="339"/>
      <c r="E4" s="339"/>
      <c r="F4" s="339"/>
      <c r="G4" s="339"/>
    </row>
    <row r="5" spans="1:7" ht="15" customHeight="1" x14ac:dyDescent="0.25">
      <c r="A5" s="346"/>
      <c r="B5" s="324" t="s">
        <v>113</v>
      </c>
      <c r="C5" s="324"/>
      <c r="D5" s="339"/>
      <c r="E5" s="339"/>
      <c r="F5" s="339"/>
      <c r="G5" s="339"/>
    </row>
    <row r="6" spans="1:7" ht="16.5" customHeight="1" x14ac:dyDescent="0.25">
      <c r="A6" s="346"/>
      <c r="B6" s="76" t="s">
        <v>73</v>
      </c>
      <c r="C6" s="76" t="s">
        <v>112</v>
      </c>
      <c r="D6" s="339"/>
      <c r="E6" s="339"/>
      <c r="F6" s="339"/>
      <c r="G6" s="339"/>
    </row>
    <row r="7" spans="1:7" ht="11.25" customHeight="1" x14ac:dyDescent="0.25">
      <c r="A7" s="346"/>
      <c r="B7" s="332"/>
      <c r="C7" s="332"/>
      <c r="D7" s="339"/>
      <c r="E7" s="339"/>
      <c r="F7" s="339"/>
      <c r="G7" s="339"/>
    </row>
    <row r="8" spans="1:7" x14ac:dyDescent="0.25">
      <c r="A8" s="346"/>
      <c r="B8" s="311" t="s">
        <v>74</v>
      </c>
      <c r="C8" s="311"/>
      <c r="D8" s="339"/>
      <c r="E8" s="339"/>
      <c r="F8" s="339"/>
      <c r="G8" s="339"/>
    </row>
    <row r="9" spans="1:7" ht="16.5" customHeight="1" x14ac:dyDescent="0.25">
      <c r="A9" s="346"/>
      <c r="B9" s="78" t="s">
        <v>7</v>
      </c>
      <c r="C9" s="74" t="s">
        <v>236</v>
      </c>
      <c r="D9" s="333">
        <v>42815</v>
      </c>
      <c r="E9" s="333"/>
      <c r="F9" s="337">
        <v>43192</v>
      </c>
      <c r="G9" s="337"/>
    </row>
    <row r="10" spans="1:7" x14ac:dyDescent="0.25">
      <c r="A10" s="346"/>
      <c r="B10" s="78" t="s">
        <v>9</v>
      </c>
      <c r="C10" s="74" t="s">
        <v>237</v>
      </c>
      <c r="D10" s="333"/>
      <c r="E10" s="333"/>
      <c r="F10" s="337"/>
      <c r="G10" s="337"/>
    </row>
    <row r="11" spans="1:7" x14ac:dyDescent="0.25">
      <c r="A11" s="346"/>
      <c r="B11" s="78" t="s">
        <v>11</v>
      </c>
      <c r="C11" s="76" t="s">
        <v>235</v>
      </c>
      <c r="D11" s="329" t="s">
        <v>234</v>
      </c>
      <c r="E11" s="329"/>
      <c r="F11" s="338" t="s">
        <v>276</v>
      </c>
      <c r="G11" s="338"/>
    </row>
    <row r="12" spans="1:7" x14ac:dyDescent="0.25">
      <c r="A12" s="346"/>
      <c r="B12" s="78" t="s">
        <v>13</v>
      </c>
      <c r="C12" s="74" t="s">
        <v>75</v>
      </c>
      <c r="D12" s="334" t="s">
        <v>76</v>
      </c>
      <c r="E12" s="334"/>
      <c r="F12" s="334" t="s">
        <v>76</v>
      </c>
      <c r="G12" s="334"/>
    </row>
    <row r="13" spans="1:7" ht="11.25" customHeight="1" x14ac:dyDescent="0.25">
      <c r="A13" s="346"/>
      <c r="B13" s="332"/>
      <c r="C13" s="332"/>
      <c r="D13" s="83"/>
      <c r="E13" s="73"/>
      <c r="F13" s="83"/>
      <c r="G13" s="73"/>
    </row>
    <row r="14" spans="1:7" x14ac:dyDescent="0.25">
      <c r="A14" s="346"/>
      <c r="B14" s="311" t="s">
        <v>77</v>
      </c>
      <c r="C14" s="311"/>
      <c r="D14" s="87"/>
      <c r="E14" s="73"/>
      <c r="F14" s="87"/>
      <c r="G14" s="73"/>
    </row>
    <row r="15" spans="1:7" ht="45" x14ac:dyDescent="0.25">
      <c r="A15" s="346"/>
      <c r="B15" s="317" t="s">
        <v>78</v>
      </c>
      <c r="C15" s="317"/>
      <c r="D15" s="115" t="s">
        <v>79</v>
      </c>
      <c r="E15" s="115" t="s">
        <v>272</v>
      </c>
      <c r="F15" s="115" t="s">
        <v>79</v>
      </c>
      <c r="G15" s="115" t="s">
        <v>80</v>
      </c>
    </row>
    <row r="16" spans="1:7" ht="17.25" customHeight="1" x14ac:dyDescent="0.25">
      <c r="A16" s="346"/>
      <c r="B16" s="329" t="s">
        <v>114</v>
      </c>
      <c r="C16" s="329"/>
      <c r="D16" s="116" t="s">
        <v>96</v>
      </c>
      <c r="E16" s="116" t="s">
        <v>97</v>
      </c>
      <c r="F16" s="116" t="s">
        <v>96</v>
      </c>
      <c r="G16" s="116" t="s">
        <v>97</v>
      </c>
    </row>
    <row r="17" spans="1:7" ht="10.5" customHeight="1" x14ac:dyDescent="0.25">
      <c r="A17" s="346"/>
      <c r="B17" s="325"/>
      <c r="C17" s="325"/>
      <c r="D17" s="84"/>
      <c r="E17" s="84"/>
      <c r="F17" s="84"/>
      <c r="G17" s="84"/>
    </row>
    <row r="18" spans="1:7" ht="19.5" customHeight="1" x14ac:dyDescent="0.25">
      <c r="A18" s="346"/>
      <c r="B18" s="312" t="s">
        <v>0</v>
      </c>
      <c r="C18" s="312"/>
      <c r="D18" s="85"/>
      <c r="E18" s="114"/>
      <c r="F18" s="85"/>
      <c r="G18" s="114"/>
    </row>
    <row r="19" spans="1:7" x14ac:dyDescent="0.25">
      <c r="A19" s="346"/>
      <c r="B19" s="78">
        <v>1</v>
      </c>
      <c r="C19" s="80" t="s">
        <v>1</v>
      </c>
      <c r="D19" s="78" t="str">
        <f>B16</f>
        <v>ENCARREGADO</v>
      </c>
      <c r="E19" s="73"/>
      <c r="F19" s="78" t="str">
        <f>B16</f>
        <v>ENCARREGADO</v>
      </c>
      <c r="G19" s="73"/>
    </row>
    <row r="20" spans="1:7" x14ac:dyDescent="0.25">
      <c r="A20" s="346"/>
      <c r="B20" s="78">
        <v>2</v>
      </c>
      <c r="C20" s="80" t="s">
        <v>2</v>
      </c>
      <c r="D20" s="86">
        <v>2242.66</v>
      </c>
      <c r="E20" s="73"/>
      <c r="F20" s="142">
        <v>2312.1799999999998</v>
      </c>
      <c r="G20" s="73"/>
    </row>
    <row r="21" spans="1:7" x14ac:dyDescent="0.25">
      <c r="A21" s="346"/>
      <c r="B21" s="78">
        <v>3</v>
      </c>
      <c r="C21" s="80" t="s">
        <v>87</v>
      </c>
      <c r="D21" s="78" t="str">
        <f>B16</f>
        <v>ENCARREGADO</v>
      </c>
      <c r="E21" s="73"/>
      <c r="F21" s="78" t="str">
        <f>B16</f>
        <v>ENCARREGADO</v>
      </c>
      <c r="G21" s="73"/>
    </row>
    <row r="22" spans="1:7" x14ac:dyDescent="0.25">
      <c r="A22" s="346"/>
      <c r="B22" s="78">
        <v>4</v>
      </c>
      <c r="C22" s="80" t="s">
        <v>3</v>
      </c>
      <c r="D22" s="118">
        <v>42736</v>
      </c>
      <c r="E22" s="73"/>
      <c r="F22" s="141">
        <v>43101</v>
      </c>
      <c r="G22" s="73"/>
    </row>
    <row r="23" spans="1:7" x14ac:dyDescent="0.25">
      <c r="A23" s="346"/>
      <c r="B23" s="311" t="s">
        <v>4</v>
      </c>
      <c r="C23" s="311"/>
      <c r="D23" s="87"/>
      <c r="E23" s="73"/>
      <c r="F23" s="87"/>
      <c r="G23" s="73"/>
    </row>
    <row r="24" spans="1:7" x14ac:dyDescent="0.25">
      <c r="A24" s="346"/>
      <c r="B24" s="75">
        <v>1</v>
      </c>
      <c r="C24" s="75" t="s">
        <v>5</v>
      </c>
      <c r="D24" s="75" t="s">
        <v>6</v>
      </c>
      <c r="E24" s="73"/>
      <c r="F24" s="75" t="s">
        <v>6</v>
      </c>
      <c r="G24" s="73"/>
    </row>
    <row r="25" spans="1:7" x14ac:dyDescent="0.25">
      <c r="A25" s="346"/>
      <c r="B25" s="78" t="s">
        <v>7</v>
      </c>
      <c r="C25" s="74" t="s">
        <v>8</v>
      </c>
      <c r="D25" s="88">
        <f>D20</f>
        <v>2242.66</v>
      </c>
      <c r="E25" s="73"/>
      <c r="F25" s="88">
        <f>F20</f>
        <v>2312.1799999999998</v>
      </c>
      <c r="G25" s="73"/>
    </row>
    <row r="26" spans="1:7" x14ac:dyDescent="0.25">
      <c r="A26" s="346"/>
      <c r="B26" s="78" t="s">
        <v>9</v>
      </c>
      <c r="C26" s="74" t="s">
        <v>10</v>
      </c>
      <c r="D26" s="88"/>
      <c r="E26" s="73"/>
      <c r="F26" s="88"/>
      <c r="G26" s="73"/>
    </row>
    <row r="27" spans="1:7" x14ac:dyDescent="0.25">
      <c r="A27" s="346"/>
      <c r="B27" s="78" t="s">
        <v>11</v>
      </c>
      <c r="C27" s="74" t="s">
        <v>12</v>
      </c>
      <c r="D27" s="88"/>
      <c r="E27" s="73"/>
      <c r="F27" s="88"/>
      <c r="G27" s="73"/>
    </row>
    <row r="28" spans="1:7" x14ac:dyDescent="0.25">
      <c r="A28" s="346"/>
      <c r="B28" s="78" t="s">
        <v>13</v>
      </c>
      <c r="C28" s="74" t="s">
        <v>14</v>
      </c>
      <c r="D28" s="88"/>
      <c r="E28" s="73"/>
      <c r="F28" s="88"/>
      <c r="G28" s="73"/>
    </row>
    <row r="29" spans="1:7" x14ac:dyDescent="0.25">
      <c r="A29" s="346"/>
      <c r="B29" s="78" t="s">
        <v>15</v>
      </c>
      <c r="C29" s="74" t="s">
        <v>16</v>
      </c>
      <c r="D29" s="88"/>
      <c r="E29" s="73"/>
      <c r="F29" s="88"/>
      <c r="G29" s="73"/>
    </row>
    <row r="30" spans="1:7" x14ac:dyDescent="0.25">
      <c r="A30" s="346"/>
      <c r="B30" s="78" t="s">
        <v>17</v>
      </c>
      <c r="C30" s="74" t="s">
        <v>18</v>
      </c>
      <c r="D30" s="88"/>
      <c r="E30" s="73"/>
      <c r="F30" s="88"/>
      <c r="G30" s="73"/>
    </row>
    <row r="31" spans="1:7" x14ac:dyDescent="0.25">
      <c r="A31" s="346"/>
      <c r="B31" s="78" t="s">
        <v>19</v>
      </c>
      <c r="C31" s="74" t="s">
        <v>110</v>
      </c>
      <c r="D31" s="88"/>
      <c r="E31" s="73"/>
      <c r="F31" s="88"/>
      <c r="G31" s="73"/>
    </row>
    <row r="32" spans="1:7" x14ac:dyDescent="0.25">
      <c r="A32" s="346"/>
      <c r="B32" s="78" t="s">
        <v>20</v>
      </c>
      <c r="C32" s="74" t="s">
        <v>21</v>
      </c>
      <c r="D32" s="88"/>
      <c r="E32" s="73"/>
      <c r="F32" s="88"/>
      <c r="G32" s="73"/>
    </row>
    <row r="33" spans="1:8" x14ac:dyDescent="0.25">
      <c r="A33" s="346"/>
      <c r="B33" s="312" t="s">
        <v>22</v>
      </c>
      <c r="C33" s="312"/>
      <c r="D33" s="89">
        <f>SUM(D25:D32)</f>
        <v>2242.66</v>
      </c>
      <c r="E33" s="114"/>
      <c r="F33" s="89">
        <f>SUM(F25:F32)</f>
        <v>2312.1799999999998</v>
      </c>
      <c r="G33" s="114"/>
    </row>
    <row r="34" spans="1:8" x14ac:dyDescent="0.25">
      <c r="A34" s="346"/>
      <c r="B34" s="311" t="s">
        <v>23</v>
      </c>
      <c r="C34" s="311"/>
      <c r="D34" s="87"/>
      <c r="E34" s="73"/>
      <c r="F34" s="87"/>
      <c r="G34" s="73"/>
    </row>
    <row r="35" spans="1:8" x14ac:dyDescent="0.25">
      <c r="A35" s="346"/>
      <c r="B35" s="75">
        <v>2</v>
      </c>
      <c r="C35" s="75" t="s">
        <v>24</v>
      </c>
      <c r="D35" s="75" t="s">
        <v>6</v>
      </c>
      <c r="E35" s="114"/>
      <c r="F35" s="75" t="s">
        <v>6</v>
      </c>
      <c r="G35" s="114"/>
    </row>
    <row r="36" spans="1:8" ht="16.5" customHeight="1" x14ac:dyDescent="0.25">
      <c r="A36" s="346"/>
      <c r="B36" s="78" t="s">
        <v>7</v>
      </c>
      <c r="C36" s="82" t="s">
        <v>271</v>
      </c>
      <c r="D36" s="90">
        <f>(5*2*20.7365) - D33*6%</f>
        <v>72.80540000000002</v>
      </c>
      <c r="E36" s="73"/>
      <c r="F36" s="90">
        <f>(5*2*20.7365) - F33*6%</f>
        <v>68.634200000000021</v>
      </c>
      <c r="G36" s="73"/>
    </row>
    <row r="37" spans="1:8" ht="15" customHeight="1" x14ac:dyDescent="0.25">
      <c r="A37" s="346"/>
      <c r="B37" s="78" t="s">
        <v>9</v>
      </c>
      <c r="C37" s="74" t="s">
        <v>275</v>
      </c>
      <c r="D37" s="88">
        <f>29.5*20.7365</f>
        <v>611.72675000000004</v>
      </c>
      <c r="E37" s="73"/>
      <c r="F37" s="143">
        <f>31.5*20.7365</f>
        <v>653.19974999999999</v>
      </c>
      <c r="G37" s="73"/>
    </row>
    <row r="38" spans="1:8" x14ac:dyDescent="0.25">
      <c r="A38" s="346"/>
      <c r="B38" s="78" t="s">
        <v>11</v>
      </c>
      <c r="C38" s="74" t="s">
        <v>25</v>
      </c>
      <c r="D38" s="88">
        <v>0</v>
      </c>
      <c r="E38" s="73"/>
      <c r="F38" s="88">
        <v>0</v>
      </c>
      <c r="G38" s="73"/>
    </row>
    <row r="39" spans="1:8" x14ac:dyDescent="0.25">
      <c r="A39" s="346"/>
      <c r="B39" s="78" t="s">
        <v>13</v>
      </c>
      <c r="C39" s="74" t="s">
        <v>81</v>
      </c>
      <c r="D39" s="88"/>
      <c r="E39" s="73"/>
      <c r="F39" s="88"/>
      <c r="G39" s="73"/>
    </row>
    <row r="40" spans="1:8" x14ac:dyDescent="0.25">
      <c r="A40" s="346"/>
      <c r="B40" s="78" t="s">
        <v>15</v>
      </c>
      <c r="C40" s="74" t="s">
        <v>232</v>
      </c>
      <c r="D40" s="117">
        <v>1.5</v>
      </c>
      <c r="E40" s="91" t="s">
        <v>238</v>
      </c>
      <c r="F40" s="117">
        <v>1.5</v>
      </c>
      <c r="G40" s="91"/>
    </row>
    <row r="41" spans="1:8" x14ac:dyDescent="0.25">
      <c r="A41" s="346"/>
      <c r="B41" s="78" t="s">
        <v>17</v>
      </c>
      <c r="C41" s="74" t="s">
        <v>88</v>
      </c>
      <c r="D41" s="92">
        <v>0</v>
      </c>
      <c r="E41" s="73"/>
      <c r="F41" s="92">
        <v>0</v>
      </c>
      <c r="G41" s="73"/>
    </row>
    <row r="42" spans="1:8" s="3" customFormat="1" x14ac:dyDescent="0.25">
      <c r="A42" s="346"/>
      <c r="B42" s="113" t="s">
        <v>19</v>
      </c>
      <c r="C42" s="82" t="s">
        <v>233</v>
      </c>
      <c r="D42" s="92">
        <v>5</v>
      </c>
      <c r="E42" s="93"/>
      <c r="F42" s="143">
        <v>9.9</v>
      </c>
      <c r="G42" s="93"/>
    </row>
    <row r="43" spans="1:8" ht="15.75" customHeight="1" x14ac:dyDescent="0.25">
      <c r="A43" s="346"/>
      <c r="B43" s="312" t="s">
        <v>26</v>
      </c>
      <c r="C43" s="312"/>
      <c r="D43" s="89">
        <f>SUM(D36:D42)</f>
        <v>691.03215</v>
      </c>
      <c r="E43" s="114"/>
      <c r="F43" s="89">
        <f>SUM(F36:F42)</f>
        <v>733.23394999999994</v>
      </c>
      <c r="G43" s="114"/>
    </row>
    <row r="44" spans="1:8" s="5" customFormat="1" ht="15.75" customHeight="1" x14ac:dyDescent="0.25">
      <c r="A44" s="346"/>
      <c r="B44" s="331" t="s">
        <v>253</v>
      </c>
      <c r="C44" s="331"/>
      <c r="D44" s="82"/>
      <c r="E44" s="82"/>
      <c r="F44" s="82"/>
      <c r="G44" s="82"/>
    </row>
    <row r="45" spans="1:8" ht="18.75" customHeight="1" x14ac:dyDescent="0.25">
      <c r="A45" s="346"/>
      <c r="B45" s="317" t="s">
        <v>89</v>
      </c>
      <c r="C45" s="317"/>
      <c r="D45" s="76"/>
      <c r="E45" s="73"/>
      <c r="F45" s="76"/>
      <c r="G45" s="73"/>
    </row>
    <row r="46" spans="1:8" x14ac:dyDescent="0.25">
      <c r="A46" s="346"/>
      <c r="B46" s="75">
        <v>3</v>
      </c>
      <c r="C46" s="75" t="s">
        <v>27</v>
      </c>
      <c r="D46" s="75" t="s">
        <v>6</v>
      </c>
      <c r="E46" s="114"/>
      <c r="F46" s="75" t="s">
        <v>6</v>
      </c>
      <c r="G46" s="114"/>
    </row>
    <row r="47" spans="1:8" x14ac:dyDescent="0.25">
      <c r="A47" s="346"/>
      <c r="B47" s="78" t="s">
        <v>7</v>
      </c>
      <c r="C47" s="74" t="s">
        <v>231</v>
      </c>
      <c r="D47" s="88">
        <f>UNIFORMES!G36</f>
        <v>68.086666666666659</v>
      </c>
      <c r="E47" s="73"/>
      <c r="F47" s="88">
        <f>UNIFORMES!G36</f>
        <v>68.086666666666659</v>
      </c>
      <c r="G47" s="73"/>
    </row>
    <row r="48" spans="1:8" x14ac:dyDescent="0.25">
      <c r="A48" s="346"/>
      <c r="B48" s="78" t="s">
        <v>9</v>
      </c>
      <c r="C48" s="74" t="s">
        <v>107</v>
      </c>
      <c r="D48" s="88">
        <v>0</v>
      </c>
      <c r="E48" s="94"/>
      <c r="F48" s="88">
        <v>0</v>
      </c>
      <c r="G48" s="94"/>
      <c r="H48" s="22"/>
    </row>
    <row r="49" spans="1:8" s="3" customFormat="1" x14ac:dyDescent="0.25">
      <c r="A49" s="346"/>
      <c r="B49" s="113" t="s">
        <v>11</v>
      </c>
      <c r="C49" s="82" t="s">
        <v>108</v>
      </c>
      <c r="D49" s="92">
        <v>0</v>
      </c>
      <c r="E49" s="93"/>
      <c r="F49" s="92">
        <v>0</v>
      </c>
      <c r="G49" s="93"/>
      <c r="H49" s="6"/>
    </row>
    <row r="50" spans="1:8" s="3" customFormat="1" ht="25.5" x14ac:dyDescent="0.25">
      <c r="A50" s="346"/>
      <c r="B50" s="113" t="s">
        <v>13</v>
      </c>
      <c r="C50" s="82" t="s">
        <v>136</v>
      </c>
      <c r="D50" s="92">
        <f>TREINAMENTO!G12</f>
        <v>9.9499999999999993</v>
      </c>
      <c r="E50" s="93"/>
      <c r="F50" s="92">
        <f>TREINAMENTO!I12</f>
        <v>9.9499999999999993</v>
      </c>
      <c r="G50" s="93"/>
      <c r="H50" s="6"/>
    </row>
    <row r="51" spans="1:8" ht="15.75" customHeight="1" x14ac:dyDescent="0.25">
      <c r="A51" s="346"/>
      <c r="B51" s="312" t="s">
        <v>28</v>
      </c>
      <c r="C51" s="312"/>
      <c r="D51" s="89">
        <f>SUM(D47:D50)</f>
        <v>78.036666666666662</v>
      </c>
      <c r="E51" s="114"/>
      <c r="F51" s="89">
        <f>SUM(F47:F50)</f>
        <v>78.036666666666662</v>
      </c>
      <c r="G51" s="114"/>
      <c r="H51" s="22"/>
    </row>
    <row r="52" spans="1:8" s="5" customFormat="1" ht="11.25" customHeight="1" x14ac:dyDescent="0.25">
      <c r="A52" s="346"/>
      <c r="B52" s="326" t="s">
        <v>247</v>
      </c>
      <c r="C52" s="326"/>
      <c r="D52" s="82"/>
      <c r="E52" s="82"/>
      <c r="F52" s="82"/>
      <c r="G52" s="82"/>
      <c r="H52" s="70"/>
    </row>
    <row r="53" spans="1:8" x14ac:dyDescent="0.25">
      <c r="A53" s="346"/>
      <c r="B53" s="327" t="s">
        <v>29</v>
      </c>
      <c r="C53" s="327"/>
      <c r="D53" s="87"/>
      <c r="E53" s="87"/>
      <c r="F53" s="87"/>
      <c r="G53" s="87"/>
      <c r="H53" s="22"/>
    </row>
    <row r="54" spans="1:8" x14ac:dyDescent="0.25">
      <c r="A54" s="346"/>
      <c r="B54" s="328" t="s">
        <v>82</v>
      </c>
      <c r="C54" s="328"/>
      <c r="D54" s="87"/>
      <c r="E54" s="87"/>
      <c r="F54" s="87"/>
      <c r="G54" s="87"/>
    </row>
    <row r="55" spans="1:8" x14ac:dyDescent="0.25">
      <c r="A55" s="346"/>
      <c r="B55" s="75" t="s">
        <v>30</v>
      </c>
      <c r="C55" s="75" t="s">
        <v>31</v>
      </c>
      <c r="D55" s="75" t="s">
        <v>32</v>
      </c>
      <c r="E55" s="75" t="s">
        <v>6</v>
      </c>
      <c r="F55" s="75" t="s">
        <v>32</v>
      </c>
      <c r="G55" s="75" t="s">
        <v>6</v>
      </c>
    </row>
    <row r="56" spans="1:8" x14ac:dyDescent="0.25">
      <c r="A56" s="346"/>
      <c r="B56" s="78" t="s">
        <v>7</v>
      </c>
      <c r="C56" s="74" t="s">
        <v>33</v>
      </c>
      <c r="D56" s="95">
        <v>0.2</v>
      </c>
      <c r="E56" s="88">
        <f t="shared" ref="E56:E63" si="0">D56*$D$33</f>
        <v>448.53199999999998</v>
      </c>
      <c r="F56" s="95">
        <v>0.2</v>
      </c>
      <c r="G56" s="88">
        <f>ROUND(F56*$F$33,2)</f>
        <v>462.44</v>
      </c>
      <c r="H56" s="239"/>
    </row>
    <row r="57" spans="1:8" x14ac:dyDescent="0.25">
      <c r="A57" s="346"/>
      <c r="B57" s="78" t="s">
        <v>9</v>
      </c>
      <c r="C57" s="74" t="s">
        <v>34</v>
      </c>
      <c r="D57" s="95">
        <v>1.4999999999999999E-2</v>
      </c>
      <c r="E57" s="88">
        <f t="shared" si="0"/>
        <v>33.639899999999997</v>
      </c>
      <c r="F57" s="95">
        <v>1.4999999999999999E-2</v>
      </c>
      <c r="G57" s="88">
        <f t="shared" ref="G57:G63" si="1">ROUND(F57*$F$33,2)</f>
        <v>34.68</v>
      </c>
      <c r="H57" s="239"/>
    </row>
    <row r="58" spans="1:8" x14ac:dyDescent="0.25">
      <c r="A58" s="346"/>
      <c r="B58" s="78" t="s">
        <v>11</v>
      </c>
      <c r="C58" s="74" t="s">
        <v>35</v>
      </c>
      <c r="D58" s="95">
        <v>0.01</v>
      </c>
      <c r="E58" s="88">
        <f t="shared" si="0"/>
        <v>22.426600000000001</v>
      </c>
      <c r="F58" s="95">
        <v>0.01</v>
      </c>
      <c r="G58" s="88">
        <f t="shared" si="1"/>
        <v>23.12</v>
      </c>
      <c r="H58" s="239"/>
    </row>
    <row r="59" spans="1:8" x14ac:dyDescent="0.25">
      <c r="A59" s="346"/>
      <c r="B59" s="78" t="s">
        <v>13</v>
      </c>
      <c r="C59" s="74" t="s">
        <v>36</v>
      </c>
      <c r="D59" s="95">
        <v>2E-3</v>
      </c>
      <c r="E59" s="88">
        <f t="shared" si="0"/>
        <v>4.4853199999999998</v>
      </c>
      <c r="F59" s="95">
        <v>2E-3</v>
      </c>
      <c r="G59" s="88">
        <f t="shared" si="1"/>
        <v>4.62</v>
      </c>
      <c r="H59" s="239"/>
    </row>
    <row r="60" spans="1:8" x14ac:dyDescent="0.25">
      <c r="A60" s="346"/>
      <c r="B60" s="78" t="s">
        <v>15</v>
      </c>
      <c r="C60" s="81" t="s">
        <v>37</v>
      </c>
      <c r="D60" s="95">
        <v>2.5000000000000001E-2</v>
      </c>
      <c r="E60" s="88">
        <f t="shared" si="0"/>
        <v>56.066499999999998</v>
      </c>
      <c r="F60" s="95">
        <v>2.5000000000000001E-2</v>
      </c>
      <c r="G60" s="88">
        <f t="shared" si="1"/>
        <v>57.8</v>
      </c>
    </row>
    <row r="61" spans="1:8" x14ac:dyDescent="0.25">
      <c r="A61" s="346"/>
      <c r="B61" s="78" t="s">
        <v>17</v>
      </c>
      <c r="C61" s="74" t="s">
        <v>38</v>
      </c>
      <c r="D61" s="95">
        <v>0.08</v>
      </c>
      <c r="E61" s="88">
        <f t="shared" si="0"/>
        <v>179.4128</v>
      </c>
      <c r="F61" s="95">
        <v>0.08</v>
      </c>
      <c r="G61" s="88">
        <f t="shared" si="1"/>
        <v>184.97</v>
      </c>
    </row>
    <row r="62" spans="1:8" x14ac:dyDescent="0.25">
      <c r="A62" s="346"/>
      <c r="B62" s="78" t="s">
        <v>19</v>
      </c>
      <c r="C62" s="74" t="s">
        <v>90</v>
      </c>
      <c r="D62" s="95">
        <v>1.66E-2</v>
      </c>
      <c r="E62" s="88">
        <f t="shared" si="0"/>
        <v>37.228155999999998</v>
      </c>
      <c r="F62" s="140">
        <v>1.9800000000000002E-2</v>
      </c>
      <c r="G62" s="88">
        <f t="shared" si="1"/>
        <v>45.78</v>
      </c>
    </row>
    <row r="63" spans="1:8" x14ac:dyDescent="0.25">
      <c r="A63" s="346"/>
      <c r="B63" s="78" t="s">
        <v>20</v>
      </c>
      <c r="C63" s="74" t="s">
        <v>39</v>
      </c>
      <c r="D63" s="95">
        <v>6.0000000000000001E-3</v>
      </c>
      <c r="E63" s="88">
        <f t="shared" si="0"/>
        <v>13.455959999999999</v>
      </c>
      <c r="F63" s="95">
        <v>6.0000000000000001E-3</v>
      </c>
      <c r="G63" s="88">
        <f t="shared" si="1"/>
        <v>13.87</v>
      </c>
    </row>
    <row r="64" spans="1:8" x14ac:dyDescent="0.25">
      <c r="A64" s="346"/>
      <c r="B64" s="312" t="s">
        <v>40</v>
      </c>
      <c r="C64" s="312"/>
      <c r="D64" s="96">
        <f>SUM(D56:D63)</f>
        <v>0.35460000000000008</v>
      </c>
      <c r="E64" s="97">
        <f>SUM(E56:E63)</f>
        <v>795.24723600000004</v>
      </c>
      <c r="F64" s="96">
        <f>SUM(F56:F63)</f>
        <v>0.35780000000000006</v>
      </c>
      <c r="G64" s="97">
        <f>SUM(G56:G63)</f>
        <v>827.28</v>
      </c>
    </row>
    <row r="65" spans="1:8" s="5" customFormat="1" ht="15" customHeight="1" x14ac:dyDescent="0.25">
      <c r="A65" s="346"/>
      <c r="B65" s="331" t="s">
        <v>250</v>
      </c>
      <c r="C65" s="331"/>
      <c r="D65" s="82"/>
      <c r="E65" s="82"/>
      <c r="F65" s="82"/>
      <c r="G65" s="82"/>
    </row>
    <row r="66" spans="1:8" s="5" customFormat="1" ht="15" customHeight="1" x14ac:dyDescent="0.25">
      <c r="A66" s="346"/>
      <c r="B66" s="331" t="s">
        <v>251</v>
      </c>
      <c r="C66" s="331"/>
      <c r="D66" s="82"/>
      <c r="E66" s="82"/>
      <c r="F66" s="82"/>
      <c r="G66" s="82"/>
    </row>
    <row r="67" spans="1:8" s="5" customFormat="1" ht="15.75" customHeight="1" x14ac:dyDescent="0.25">
      <c r="A67" s="346"/>
      <c r="B67" s="331" t="s">
        <v>252</v>
      </c>
      <c r="C67" s="331"/>
      <c r="D67" s="82"/>
      <c r="E67" s="82"/>
      <c r="F67" s="82"/>
      <c r="G67" s="82"/>
    </row>
    <row r="68" spans="1:8" x14ac:dyDescent="0.25">
      <c r="A68" s="346"/>
      <c r="B68" s="328" t="s">
        <v>83</v>
      </c>
      <c r="C68" s="328"/>
      <c r="D68" s="98"/>
      <c r="E68" s="98"/>
      <c r="F68" s="98"/>
      <c r="G68" s="98"/>
    </row>
    <row r="69" spans="1:8" x14ac:dyDescent="0.25">
      <c r="A69" s="346"/>
      <c r="B69" s="75" t="s">
        <v>41</v>
      </c>
      <c r="C69" s="75" t="s">
        <v>91</v>
      </c>
      <c r="D69" s="75" t="s">
        <v>32</v>
      </c>
      <c r="E69" s="75" t="s">
        <v>6</v>
      </c>
      <c r="F69" s="75" t="s">
        <v>32</v>
      </c>
      <c r="G69" s="75" t="s">
        <v>6</v>
      </c>
    </row>
    <row r="70" spans="1:8" x14ac:dyDescent="0.25">
      <c r="A70" s="346"/>
      <c r="B70" s="78" t="s">
        <v>7</v>
      </c>
      <c r="C70" s="74" t="s">
        <v>42</v>
      </c>
      <c r="D70" s="99">
        <v>8.3299999999999999E-2</v>
      </c>
      <c r="E70" s="88">
        <f>D70*$D$33</f>
        <v>186.81357799999998</v>
      </c>
      <c r="F70" s="99">
        <v>8.3299999999999999E-2</v>
      </c>
      <c r="G70" s="88">
        <f>ROUND(F70*$F$33,2)</f>
        <v>192.6</v>
      </c>
      <c r="H70" s="238"/>
    </row>
    <row r="71" spans="1:8" x14ac:dyDescent="0.25">
      <c r="A71" s="346"/>
      <c r="B71" s="78" t="s">
        <v>9</v>
      </c>
      <c r="C71" s="74" t="s">
        <v>92</v>
      </c>
      <c r="D71" s="99">
        <v>2.7799999999999998E-2</v>
      </c>
      <c r="E71" s="88">
        <f>D71*$D$33</f>
        <v>62.345947999999993</v>
      </c>
      <c r="F71" s="99">
        <v>2.7799999999999998E-2</v>
      </c>
      <c r="G71" s="88">
        <f>ROUND(F71*$F$33,2)</f>
        <v>64.28</v>
      </c>
    </row>
    <row r="72" spans="1:8" x14ac:dyDescent="0.25">
      <c r="A72" s="346"/>
      <c r="B72" s="78"/>
      <c r="C72" s="78" t="s">
        <v>43</v>
      </c>
      <c r="D72" s="112">
        <f>SUM(D70:D71)</f>
        <v>0.1111</v>
      </c>
      <c r="E72" s="244">
        <f>SUM(E70:E71)</f>
        <v>249.15952599999997</v>
      </c>
      <c r="F72" s="112">
        <f>SUM(F70:F71)</f>
        <v>0.1111</v>
      </c>
      <c r="G72" s="244">
        <f>SUM(G70:G71)</f>
        <v>256.88</v>
      </c>
    </row>
    <row r="73" spans="1:8" x14ac:dyDescent="0.25">
      <c r="A73" s="346"/>
      <c r="B73" s="78" t="s">
        <v>9</v>
      </c>
      <c r="C73" s="74" t="s">
        <v>267</v>
      </c>
      <c r="D73" s="240">
        <f>D64*D72</f>
        <v>3.9396060000000011E-2</v>
      </c>
      <c r="E73" s="106">
        <f>D73*$D$33</f>
        <v>88.351967919600014</v>
      </c>
      <c r="F73" s="240">
        <f>F64*F72</f>
        <v>3.9751580000000009E-2</v>
      </c>
      <c r="G73" s="106">
        <f>ROUND(F73*$F$33,2)</f>
        <v>91.91</v>
      </c>
    </row>
    <row r="74" spans="1:8" x14ac:dyDescent="0.25">
      <c r="A74" s="346"/>
      <c r="B74" s="312" t="s">
        <v>40</v>
      </c>
      <c r="C74" s="312"/>
      <c r="D74" s="96">
        <f>SUM(D73,D72)</f>
        <v>0.15049606000000001</v>
      </c>
      <c r="E74" s="89">
        <f>SUM(E73,E72)</f>
        <v>337.51149391959996</v>
      </c>
      <c r="F74" s="96">
        <f>SUM(F73,F72)</f>
        <v>0.15085158000000001</v>
      </c>
      <c r="G74" s="89">
        <f>SUM(G73,G72)</f>
        <v>348.78999999999996</v>
      </c>
    </row>
    <row r="75" spans="1:8" x14ac:dyDescent="0.25">
      <c r="A75" s="346"/>
      <c r="B75" s="336" t="s">
        <v>44</v>
      </c>
      <c r="C75" s="336"/>
      <c r="D75" s="87"/>
      <c r="E75" s="87"/>
      <c r="F75" s="87"/>
      <c r="G75" s="87"/>
    </row>
    <row r="76" spans="1:8" x14ac:dyDescent="0.25">
      <c r="A76" s="346"/>
      <c r="B76" s="75" t="s">
        <v>45</v>
      </c>
      <c r="C76" s="75" t="s">
        <v>46</v>
      </c>
      <c r="D76" s="75" t="s">
        <v>32</v>
      </c>
      <c r="E76" s="75" t="s">
        <v>6</v>
      </c>
      <c r="F76" s="75" t="s">
        <v>32</v>
      </c>
      <c r="G76" s="75" t="s">
        <v>6</v>
      </c>
    </row>
    <row r="77" spans="1:8" x14ac:dyDescent="0.25">
      <c r="A77" s="346"/>
      <c r="B77" s="78" t="s">
        <v>7</v>
      </c>
      <c r="C77" s="74" t="s">
        <v>111</v>
      </c>
      <c r="D77" s="102">
        <v>0</v>
      </c>
      <c r="E77" s="92">
        <f>D77*$D$33</f>
        <v>0</v>
      </c>
      <c r="F77" s="102">
        <v>0</v>
      </c>
      <c r="G77" s="92">
        <f>F77*$D$33</f>
        <v>0</v>
      </c>
    </row>
    <row r="78" spans="1:8" x14ac:dyDescent="0.25">
      <c r="A78" s="346"/>
      <c r="B78" s="78" t="s">
        <v>9</v>
      </c>
      <c r="C78" s="74" t="s">
        <v>268</v>
      </c>
      <c r="D78" s="95">
        <f>D64*D77</f>
        <v>0</v>
      </c>
      <c r="E78" s="88">
        <f>D78*$D$33</f>
        <v>0</v>
      </c>
      <c r="F78" s="95">
        <f>F64*F77</f>
        <v>0</v>
      </c>
      <c r="G78" s="88">
        <f>F78*$D$33</f>
        <v>0</v>
      </c>
    </row>
    <row r="79" spans="1:8" x14ac:dyDescent="0.25">
      <c r="A79" s="346"/>
      <c r="B79" s="312" t="s">
        <v>40</v>
      </c>
      <c r="C79" s="312"/>
      <c r="D79" s="96">
        <f>SUM(D78,D77)</f>
        <v>0</v>
      </c>
      <c r="E79" s="89">
        <f>SUM(E78,E77)</f>
        <v>0</v>
      </c>
      <c r="F79" s="96">
        <f>SUM(F78,F77)</f>
        <v>0</v>
      </c>
      <c r="G79" s="89">
        <f>SUM(G78,G77)</f>
        <v>0</v>
      </c>
    </row>
    <row r="80" spans="1:8" x14ac:dyDescent="0.25">
      <c r="A80" s="346"/>
      <c r="B80" s="336" t="s">
        <v>86</v>
      </c>
      <c r="C80" s="336"/>
      <c r="D80" s="87"/>
      <c r="E80" s="87"/>
      <c r="F80" s="87"/>
      <c r="G80" s="87"/>
    </row>
    <row r="81" spans="1:8" x14ac:dyDescent="0.25">
      <c r="A81" s="346"/>
      <c r="B81" s="75" t="s">
        <v>47</v>
      </c>
      <c r="C81" s="75" t="s">
        <v>48</v>
      </c>
      <c r="D81" s="75" t="s">
        <v>32</v>
      </c>
      <c r="E81" s="75" t="s">
        <v>6</v>
      </c>
      <c r="F81" s="75" t="s">
        <v>32</v>
      </c>
      <c r="G81" s="75" t="s">
        <v>6</v>
      </c>
    </row>
    <row r="82" spans="1:8" ht="15" customHeight="1" x14ac:dyDescent="0.25">
      <c r="A82" s="346"/>
      <c r="B82" s="78" t="s">
        <v>7</v>
      </c>
      <c r="C82" s="74" t="s">
        <v>49</v>
      </c>
      <c r="D82" s="240">
        <v>4.1999999999999997E-3</v>
      </c>
      <c r="E82" s="88">
        <f t="shared" ref="E82:E87" si="2">D82*$D$33</f>
        <v>9.4191719999999997</v>
      </c>
      <c r="F82" s="245">
        <f>0.1*D82</f>
        <v>4.2000000000000002E-4</v>
      </c>
      <c r="G82" s="246">
        <f>ROUND(F82*$F$33,2)</f>
        <v>0.97</v>
      </c>
      <c r="H82" s="310" t="s">
        <v>372</v>
      </c>
    </row>
    <row r="83" spans="1:8" x14ac:dyDescent="0.25">
      <c r="A83" s="346"/>
      <c r="B83" s="78" t="s">
        <v>9</v>
      </c>
      <c r="C83" s="74" t="s">
        <v>269</v>
      </c>
      <c r="D83" s="240">
        <f>D64*D82</f>
        <v>1.4893200000000004E-3</v>
      </c>
      <c r="E83" s="88">
        <f t="shared" si="2"/>
        <v>3.3400383912000007</v>
      </c>
      <c r="F83" s="245">
        <f>F64*F82</f>
        <v>1.5027600000000002E-4</v>
      </c>
      <c r="G83" s="246">
        <f>ROUND(F83*$F$33,2)</f>
        <v>0.35</v>
      </c>
      <c r="H83" s="310"/>
    </row>
    <row r="84" spans="1:8" ht="18.75" customHeight="1" x14ac:dyDescent="0.25">
      <c r="A84" s="346"/>
      <c r="B84" s="78" t="s">
        <v>11</v>
      </c>
      <c r="C84" s="74" t="s">
        <v>84</v>
      </c>
      <c r="D84" s="240">
        <v>2.0999999999999999E-3</v>
      </c>
      <c r="E84" s="88">
        <f>D84*$D$33</f>
        <v>4.7095859999999998</v>
      </c>
      <c r="F84" s="240">
        <v>2.0999999999999999E-3</v>
      </c>
      <c r="G84" s="88">
        <f>ROUND(F84*$F$33,2)</f>
        <v>4.8600000000000003</v>
      </c>
    </row>
    <row r="85" spans="1:8" x14ac:dyDescent="0.25">
      <c r="A85" s="346"/>
      <c r="B85" s="78" t="s">
        <v>13</v>
      </c>
      <c r="C85" s="74" t="s">
        <v>50</v>
      </c>
      <c r="D85" s="243">
        <v>1.9400000000000001E-2</v>
      </c>
      <c r="E85" s="120">
        <f t="shared" si="2"/>
        <v>43.507604000000001</v>
      </c>
      <c r="F85" s="245">
        <f>0.1*D85</f>
        <v>1.9400000000000001E-3</v>
      </c>
      <c r="G85" s="246">
        <f>ROUND(F85*$F$33,2)</f>
        <v>4.49</v>
      </c>
      <c r="H85" s="310" t="s">
        <v>372</v>
      </c>
    </row>
    <row r="86" spans="1:8" x14ac:dyDescent="0.25">
      <c r="A86" s="346"/>
      <c r="B86" s="78" t="s">
        <v>15</v>
      </c>
      <c r="C86" s="74" t="s">
        <v>270</v>
      </c>
      <c r="D86" s="95">
        <f>D64*D85</f>
        <v>6.8792400000000017E-3</v>
      </c>
      <c r="E86" s="88">
        <f t="shared" si="2"/>
        <v>15.427796378400004</v>
      </c>
      <c r="F86" s="245">
        <f>F64*F85</f>
        <v>6.9413200000000019E-4</v>
      </c>
      <c r="G86" s="246">
        <f>ROUND(F86*$F$33,2)</f>
        <v>1.6</v>
      </c>
      <c r="H86" s="310"/>
    </row>
    <row r="87" spans="1:8" x14ac:dyDescent="0.25">
      <c r="A87" s="346"/>
      <c r="B87" s="78" t="s">
        <v>17</v>
      </c>
      <c r="C87" s="80" t="s">
        <v>85</v>
      </c>
      <c r="D87" s="95">
        <v>9.7000000000000003E-3</v>
      </c>
      <c r="E87" s="88">
        <f t="shared" si="2"/>
        <v>21.753802</v>
      </c>
      <c r="F87" s="95">
        <v>9.7000000000000003E-3</v>
      </c>
      <c r="G87" s="88">
        <f t="shared" ref="G87" si="3">ROUND(F87*$F$33,2)</f>
        <v>22.43</v>
      </c>
    </row>
    <row r="88" spans="1:8" x14ac:dyDescent="0.25">
      <c r="A88" s="346"/>
      <c r="B88" s="312" t="s">
        <v>51</v>
      </c>
      <c r="C88" s="312"/>
      <c r="D88" s="96">
        <f>SUM(D82:D87)</f>
        <v>4.3768560000000005E-2</v>
      </c>
      <c r="E88" s="89">
        <f>SUM(E82:E87)</f>
        <v>98.157998769599999</v>
      </c>
      <c r="F88" s="96">
        <f>SUM(F82:F87)</f>
        <v>1.5004408E-2</v>
      </c>
      <c r="G88" s="89">
        <f>SUM(G82:G87)</f>
        <v>34.700000000000003</v>
      </c>
    </row>
    <row r="89" spans="1:8" x14ac:dyDescent="0.25">
      <c r="A89" s="346"/>
      <c r="B89" s="336" t="s">
        <v>52</v>
      </c>
      <c r="C89" s="336"/>
      <c r="D89" s="87"/>
      <c r="E89" s="87"/>
      <c r="F89" s="87"/>
      <c r="G89" s="87"/>
    </row>
    <row r="90" spans="1:8" x14ac:dyDescent="0.25">
      <c r="A90" s="346"/>
      <c r="B90" s="75" t="s">
        <v>53</v>
      </c>
      <c r="C90" s="75" t="s">
        <v>54</v>
      </c>
      <c r="D90" s="75" t="s">
        <v>32</v>
      </c>
      <c r="E90" s="75" t="s">
        <v>6</v>
      </c>
      <c r="F90" s="75" t="s">
        <v>32</v>
      </c>
      <c r="G90" s="75" t="s">
        <v>6</v>
      </c>
    </row>
    <row r="91" spans="1:8" x14ac:dyDescent="0.25">
      <c r="A91" s="346"/>
      <c r="B91" s="78" t="s">
        <v>7</v>
      </c>
      <c r="C91" s="74" t="s">
        <v>229</v>
      </c>
      <c r="D91" s="240">
        <v>0.1111</v>
      </c>
      <c r="E91" s="88">
        <f>D91*$D$33</f>
        <v>249.159526</v>
      </c>
      <c r="F91" s="240">
        <v>0.1111</v>
      </c>
      <c r="G91" s="88">
        <f t="shared" ref="G91:G95" si="4">ROUND(F91*$F$33,2)</f>
        <v>256.88</v>
      </c>
    </row>
    <row r="92" spans="1:8" x14ac:dyDescent="0.25">
      <c r="A92" s="346"/>
      <c r="B92" s="78" t="s">
        <v>9</v>
      </c>
      <c r="C92" s="74" t="s">
        <v>55</v>
      </c>
      <c r="D92" s="240">
        <v>1.3899999999999999E-2</v>
      </c>
      <c r="E92" s="88">
        <f>D92*$D$33</f>
        <v>31.172973999999996</v>
      </c>
      <c r="F92" s="240">
        <v>1.3899999999999999E-2</v>
      </c>
      <c r="G92" s="88">
        <f t="shared" si="4"/>
        <v>32.14</v>
      </c>
    </row>
    <row r="93" spans="1:8" x14ac:dyDescent="0.25">
      <c r="A93" s="346"/>
      <c r="B93" s="78" t="s">
        <v>11</v>
      </c>
      <c r="C93" s="74" t="s">
        <v>230</v>
      </c>
      <c r="D93" s="241">
        <v>2.1000000000000001E-4</v>
      </c>
      <c r="E93" s="88">
        <f>D93*$D$33</f>
        <v>0.47095860000000001</v>
      </c>
      <c r="F93" s="241">
        <v>2.1000000000000001E-4</v>
      </c>
      <c r="G93" s="88">
        <f t="shared" si="4"/>
        <v>0.49</v>
      </c>
    </row>
    <row r="94" spans="1:8" x14ac:dyDescent="0.25">
      <c r="A94" s="346"/>
      <c r="B94" s="78" t="s">
        <v>13</v>
      </c>
      <c r="C94" s="74" t="s">
        <v>56</v>
      </c>
      <c r="D94" s="241">
        <v>2.8E-3</v>
      </c>
      <c r="E94" s="88">
        <f>D94*$D$33</f>
        <v>6.2794479999999995</v>
      </c>
      <c r="F94" s="241">
        <v>2.8E-3</v>
      </c>
      <c r="G94" s="88">
        <f t="shared" si="4"/>
        <v>6.47</v>
      </c>
    </row>
    <row r="95" spans="1:8" x14ac:dyDescent="0.25">
      <c r="A95" s="346"/>
      <c r="B95" s="78" t="s">
        <v>15</v>
      </c>
      <c r="C95" s="74" t="s">
        <v>57</v>
      </c>
      <c r="D95" s="240">
        <v>3.3E-3</v>
      </c>
      <c r="E95" s="88">
        <f>D95*$D$33</f>
        <v>7.4007779999999999</v>
      </c>
      <c r="F95" s="240">
        <v>3.3E-3</v>
      </c>
      <c r="G95" s="88">
        <f t="shared" si="4"/>
        <v>7.63</v>
      </c>
    </row>
    <row r="96" spans="1:8" x14ac:dyDescent="0.25">
      <c r="A96" s="346"/>
      <c r="B96" s="78" t="s">
        <v>17</v>
      </c>
      <c r="C96" s="74" t="s">
        <v>21</v>
      </c>
      <c r="D96" s="99"/>
      <c r="E96" s="88"/>
      <c r="F96" s="99"/>
      <c r="G96" s="88"/>
    </row>
    <row r="97" spans="1:7" x14ac:dyDescent="0.25">
      <c r="A97" s="346"/>
      <c r="B97" s="78"/>
      <c r="C97" s="79" t="s">
        <v>43</v>
      </c>
      <c r="D97" s="112">
        <f>SUM(D91:D96)</f>
        <v>0.13130999999999998</v>
      </c>
      <c r="E97" s="103">
        <f>SUM(E91:E96)</f>
        <v>294.4836846</v>
      </c>
      <c r="F97" s="112">
        <f>SUM(F91:F96)</f>
        <v>0.13130999999999998</v>
      </c>
      <c r="G97" s="103">
        <f>SUM(G91:G96)</f>
        <v>303.61</v>
      </c>
    </row>
    <row r="98" spans="1:7" x14ac:dyDescent="0.25">
      <c r="A98" s="346"/>
      <c r="B98" s="78" t="s">
        <v>17</v>
      </c>
      <c r="C98" s="74" t="s">
        <v>266</v>
      </c>
      <c r="D98" s="240">
        <f>D64*D97</f>
        <v>4.6562526000000007E-2</v>
      </c>
      <c r="E98" s="88">
        <f>D98*$D$33</f>
        <v>104.42391455916001</v>
      </c>
      <c r="F98" s="240">
        <f>F64*F97</f>
        <v>4.6982718E-2</v>
      </c>
      <c r="G98" s="88">
        <f>ROUND(F98*F33,2)</f>
        <v>108.63</v>
      </c>
    </row>
    <row r="99" spans="1:7" x14ac:dyDescent="0.25">
      <c r="A99" s="346"/>
      <c r="B99" s="330" t="s">
        <v>51</v>
      </c>
      <c r="C99" s="330"/>
      <c r="D99" s="96">
        <f>SUM(D97:D98)</f>
        <v>0.17787252599999998</v>
      </c>
      <c r="E99" s="89">
        <f>SUM(E97:E98)</f>
        <v>398.90759915915999</v>
      </c>
      <c r="F99" s="96">
        <f>SUM(F97:F98)</f>
        <v>0.17829271799999999</v>
      </c>
      <c r="G99" s="89">
        <f>SUM(G97:G98)</f>
        <v>412.24</v>
      </c>
    </row>
    <row r="100" spans="1:7" ht="10.5" customHeight="1" x14ac:dyDescent="0.25">
      <c r="A100" s="346"/>
      <c r="B100" s="322"/>
      <c r="C100" s="322"/>
      <c r="D100" s="73"/>
      <c r="E100" s="73"/>
      <c r="F100" s="73"/>
      <c r="G100" s="73"/>
    </row>
    <row r="101" spans="1:7" x14ac:dyDescent="0.25">
      <c r="A101" s="346"/>
      <c r="B101" s="311" t="s">
        <v>58</v>
      </c>
      <c r="C101" s="311"/>
      <c r="D101" s="87"/>
      <c r="E101" s="73"/>
      <c r="F101" s="87"/>
      <c r="G101" s="73"/>
    </row>
    <row r="102" spans="1:7" ht="9" customHeight="1" x14ac:dyDescent="0.25">
      <c r="A102" s="346"/>
      <c r="B102" s="350"/>
      <c r="C102" s="350"/>
      <c r="D102" s="73"/>
      <c r="E102" s="73"/>
      <c r="F102" s="73"/>
      <c r="G102" s="73"/>
    </row>
    <row r="103" spans="1:7" x14ac:dyDescent="0.25">
      <c r="A103" s="346"/>
      <c r="B103" s="75">
        <v>4</v>
      </c>
      <c r="C103" s="75" t="s">
        <v>59</v>
      </c>
      <c r="D103" s="75" t="s">
        <v>6</v>
      </c>
      <c r="E103" s="73"/>
      <c r="F103" s="75" t="s">
        <v>6</v>
      </c>
      <c r="G103" s="73"/>
    </row>
    <row r="104" spans="1:7" x14ac:dyDescent="0.25">
      <c r="A104" s="346"/>
      <c r="B104" s="78" t="s">
        <v>30</v>
      </c>
      <c r="C104" s="74" t="s">
        <v>93</v>
      </c>
      <c r="D104" s="104">
        <f>E64</f>
        <v>795.24723600000004</v>
      </c>
      <c r="E104" s="73"/>
      <c r="F104" s="104">
        <f>G64</f>
        <v>827.28</v>
      </c>
      <c r="G104" s="73"/>
    </row>
    <row r="105" spans="1:7" x14ac:dyDescent="0.25">
      <c r="A105" s="346"/>
      <c r="B105" s="78" t="s">
        <v>41</v>
      </c>
      <c r="C105" s="74" t="s">
        <v>94</v>
      </c>
      <c r="D105" s="104">
        <f>E74</f>
        <v>337.51149391959996</v>
      </c>
      <c r="E105" s="73"/>
      <c r="F105" s="104">
        <f>G74</f>
        <v>348.78999999999996</v>
      </c>
      <c r="G105" s="73"/>
    </row>
    <row r="106" spans="1:7" x14ac:dyDescent="0.25">
      <c r="A106" s="346"/>
      <c r="B106" s="78" t="s">
        <v>45</v>
      </c>
      <c r="C106" s="74" t="s">
        <v>46</v>
      </c>
      <c r="D106" s="104">
        <f>E79</f>
        <v>0</v>
      </c>
      <c r="E106" s="73"/>
      <c r="F106" s="104">
        <f>G79</f>
        <v>0</v>
      </c>
      <c r="G106" s="73"/>
    </row>
    <row r="107" spans="1:7" x14ac:dyDescent="0.25">
      <c r="A107" s="346"/>
      <c r="B107" s="78" t="s">
        <v>47</v>
      </c>
      <c r="C107" s="74" t="s">
        <v>60</v>
      </c>
      <c r="D107" s="104">
        <f>E88</f>
        <v>98.157998769599999</v>
      </c>
      <c r="E107" s="73"/>
      <c r="F107" s="104">
        <f>G88</f>
        <v>34.700000000000003</v>
      </c>
      <c r="G107" s="73"/>
    </row>
    <row r="108" spans="1:7" x14ac:dyDescent="0.25">
      <c r="A108" s="346"/>
      <c r="B108" s="78" t="s">
        <v>53</v>
      </c>
      <c r="C108" s="74" t="s">
        <v>61</v>
      </c>
      <c r="D108" s="104">
        <f>E99</f>
        <v>398.90759915915999</v>
      </c>
      <c r="E108" s="73"/>
      <c r="F108" s="104">
        <f>G99</f>
        <v>412.24</v>
      </c>
      <c r="G108" s="73"/>
    </row>
    <row r="109" spans="1:7" x14ac:dyDescent="0.25">
      <c r="A109" s="346"/>
      <c r="B109" s="78" t="s">
        <v>62</v>
      </c>
      <c r="C109" s="74" t="s">
        <v>63</v>
      </c>
      <c r="D109" s="81"/>
      <c r="E109" s="73"/>
      <c r="F109" s="81"/>
      <c r="G109" s="73"/>
    </row>
    <row r="110" spans="1:7" x14ac:dyDescent="0.25">
      <c r="A110" s="346"/>
      <c r="B110" s="330" t="s">
        <v>51</v>
      </c>
      <c r="C110" s="330"/>
      <c r="D110" s="105">
        <f>SUM(D104:D109)</f>
        <v>1629.8243278483601</v>
      </c>
      <c r="E110" s="73"/>
      <c r="F110" s="105">
        <f>SUM(F104:F109)</f>
        <v>1623.01</v>
      </c>
      <c r="G110" s="73"/>
    </row>
    <row r="111" spans="1:7" s="6" customFormat="1" ht="15" customHeight="1" x14ac:dyDescent="0.25">
      <c r="A111" s="346"/>
      <c r="B111" s="331" t="s">
        <v>264</v>
      </c>
      <c r="C111" s="331"/>
      <c r="D111" s="82"/>
      <c r="E111" s="82"/>
      <c r="F111" s="82"/>
      <c r="G111" s="82"/>
    </row>
    <row r="112" spans="1:7" s="6" customFormat="1" ht="15" customHeight="1" x14ac:dyDescent="0.25">
      <c r="A112" s="346"/>
      <c r="B112" s="331" t="s">
        <v>265</v>
      </c>
      <c r="C112" s="331"/>
      <c r="D112" s="82"/>
      <c r="E112" s="82"/>
      <c r="F112" s="82"/>
      <c r="G112" s="82"/>
    </row>
    <row r="113" spans="1:7" s="6" customFormat="1" ht="8.25" customHeight="1" x14ac:dyDescent="0.25">
      <c r="A113" s="346"/>
      <c r="B113" s="335"/>
      <c r="C113" s="335"/>
      <c r="D113" s="77"/>
      <c r="E113" s="77"/>
      <c r="F113" s="77"/>
      <c r="G113" s="77"/>
    </row>
    <row r="114" spans="1:7" x14ac:dyDescent="0.25">
      <c r="A114" s="346"/>
      <c r="B114" s="311" t="s">
        <v>64</v>
      </c>
      <c r="C114" s="311"/>
      <c r="D114" s="87"/>
      <c r="E114" s="87"/>
      <c r="F114" s="87"/>
      <c r="G114" s="87"/>
    </row>
    <row r="115" spans="1:7" x14ac:dyDescent="0.25">
      <c r="A115" s="346"/>
      <c r="B115" s="75">
        <v>5</v>
      </c>
      <c r="C115" s="75" t="s">
        <v>65</v>
      </c>
      <c r="D115" s="75" t="s">
        <v>32</v>
      </c>
      <c r="E115" s="75" t="s">
        <v>6</v>
      </c>
      <c r="F115" s="75" t="s">
        <v>32</v>
      </c>
      <c r="G115" s="75" t="s">
        <v>6</v>
      </c>
    </row>
    <row r="116" spans="1:7" x14ac:dyDescent="0.25">
      <c r="A116" s="346"/>
      <c r="B116" s="78" t="s">
        <v>7</v>
      </c>
      <c r="C116" s="74" t="s">
        <v>66</v>
      </c>
      <c r="D116" s="100">
        <v>0.01</v>
      </c>
      <c r="E116" s="106">
        <f>SUM(D33+D43+D51+D110)*D116</f>
        <v>46.415531445150265</v>
      </c>
      <c r="F116" s="100">
        <v>0.01</v>
      </c>
      <c r="G116" s="106">
        <f>ROUND(SUM(F33+F43+F51+F110)*F116,2)</f>
        <v>47.46</v>
      </c>
    </row>
    <row r="117" spans="1:7" x14ac:dyDescent="0.25">
      <c r="A117" s="346"/>
      <c r="B117" s="78" t="s">
        <v>9</v>
      </c>
      <c r="C117" s="76" t="s">
        <v>67</v>
      </c>
      <c r="D117" s="112">
        <v>0.14249999999999999</v>
      </c>
      <c r="E117" s="106"/>
      <c r="F117" s="112">
        <v>0.14249999999999999</v>
      </c>
      <c r="G117" s="106"/>
    </row>
    <row r="118" spans="1:7" x14ac:dyDescent="0.25">
      <c r="A118" s="346"/>
      <c r="B118" s="78"/>
      <c r="C118" s="74" t="s">
        <v>259</v>
      </c>
      <c r="D118" s="100">
        <v>9.2499999999999999E-2</v>
      </c>
      <c r="E118" s="106">
        <f>ROUND((($D$134+$E$116+$E$122)*$D$118)/(1-$D$117),2)</f>
        <v>520.30999999999995</v>
      </c>
      <c r="F118" s="100">
        <v>9.2499999999999999E-2</v>
      </c>
      <c r="G118" s="106">
        <f>ROUND((($D$134+$E$116+$E$122)*$D$118)/(1-$D$117),2)</f>
        <v>520.30999999999995</v>
      </c>
    </row>
    <row r="119" spans="1:7" x14ac:dyDescent="0.25">
      <c r="A119" s="346"/>
      <c r="B119" s="78"/>
      <c r="C119" s="74" t="s">
        <v>260</v>
      </c>
      <c r="D119" s="107">
        <v>0.05</v>
      </c>
      <c r="E119" s="106">
        <f>ROUND((($D$134+$E$116+$E$122)*$D$119)/(1-$D$117),2)</f>
        <v>281.25</v>
      </c>
      <c r="F119" s="107">
        <v>0.05</v>
      </c>
      <c r="G119" s="106">
        <f>ROUND((($D$134+$E$116+$E$122)*$D$119)/(1-$D$117),2)</f>
        <v>281.25</v>
      </c>
    </row>
    <row r="120" spans="1:7" x14ac:dyDescent="0.25">
      <c r="A120" s="346"/>
      <c r="B120" s="78"/>
      <c r="C120" s="74" t="s">
        <v>261</v>
      </c>
      <c r="D120" s="95"/>
      <c r="E120" s="106"/>
      <c r="F120" s="95"/>
      <c r="G120" s="106"/>
    </row>
    <row r="121" spans="1:7" x14ac:dyDescent="0.25">
      <c r="A121" s="346"/>
      <c r="B121" s="78"/>
      <c r="C121" s="74" t="s">
        <v>262</v>
      </c>
      <c r="D121" s="95"/>
      <c r="E121" s="106"/>
      <c r="F121" s="95"/>
      <c r="G121" s="106"/>
    </row>
    <row r="122" spans="1:7" x14ac:dyDescent="0.25">
      <c r="A122" s="346"/>
      <c r="B122" s="78" t="s">
        <v>11</v>
      </c>
      <c r="C122" s="74" t="s">
        <v>263</v>
      </c>
      <c r="D122" s="108">
        <v>2.8899999999999999E-2</v>
      </c>
      <c r="E122" s="106">
        <f>SUM(E116+D110+D51+D43+D33)*D122</f>
        <v>135.48229473524913</v>
      </c>
      <c r="F122" s="108">
        <v>2.8899999999999999E-2</v>
      </c>
      <c r="G122" s="106">
        <f>ROUND(SUM(G116+F110+F51+F43+F33)*F122,2)</f>
        <v>138.54</v>
      </c>
    </row>
    <row r="123" spans="1:7" x14ac:dyDescent="0.25">
      <c r="A123" s="346"/>
      <c r="B123" s="330" t="s">
        <v>40</v>
      </c>
      <c r="C123" s="330"/>
      <c r="D123" s="85"/>
      <c r="E123" s="105">
        <f>SUM(E116:E122)</f>
        <v>983.45782618039925</v>
      </c>
      <c r="F123" s="85"/>
      <c r="G123" s="105">
        <f>SUM(G116:G122)</f>
        <v>987.56</v>
      </c>
    </row>
    <row r="124" spans="1:7" x14ac:dyDescent="0.25">
      <c r="A124" s="346"/>
      <c r="B124" s="323" t="s">
        <v>248</v>
      </c>
      <c r="C124" s="323"/>
      <c r="D124" s="87"/>
      <c r="E124" s="87"/>
      <c r="F124" s="87"/>
      <c r="G124" s="87"/>
    </row>
    <row r="125" spans="1:7" x14ac:dyDescent="0.25">
      <c r="A125" s="346"/>
      <c r="B125" s="323" t="s">
        <v>249</v>
      </c>
      <c r="C125" s="323"/>
      <c r="D125" s="87"/>
      <c r="E125" s="87"/>
      <c r="F125" s="87"/>
      <c r="G125" s="87"/>
    </row>
    <row r="126" spans="1:7" x14ac:dyDescent="0.25">
      <c r="A126" s="346"/>
      <c r="B126" s="322" t="s">
        <v>95</v>
      </c>
      <c r="C126" s="322"/>
      <c r="D126" s="109" t="s">
        <v>239</v>
      </c>
      <c r="E126" s="109">
        <f>1-0.1425</f>
        <v>0.85750000000000004</v>
      </c>
      <c r="F126" s="109" t="s">
        <v>239</v>
      </c>
      <c r="G126" s="109">
        <f>1-0.1425</f>
        <v>0.85750000000000004</v>
      </c>
    </row>
    <row r="127" spans="1:7" x14ac:dyDescent="0.25">
      <c r="A127" s="346"/>
      <c r="B127" s="311" t="s">
        <v>68</v>
      </c>
      <c r="C127" s="311"/>
      <c r="D127" s="87"/>
      <c r="E127" s="87"/>
      <c r="F127" s="87"/>
      <c r="G127" s="87"/>
    </row>
    <row r="128" spans="1:7" ht="12" customHeight="1" x14ac:dyDescent="0.25">
      <c r="A128" s="346"/>
      <c r="B128" s="311"/>
      <c r="C128" s="311"/>
      <c r="D128" s="73"/>
      <c r="E128" s="73"/>
      <c r="F128" s="73"/>
      <c r="G128" s="73"/>
    </row>
    <row r="129" spans="1:7" x14ac:dyDescent="0.25">
      <c r="A129" s="346"/>
      <c r="B129" s="312" t="s">
        <v>69</v>
      </c>
      <c r="C129" s="312"/>
      <c r="D129" s="312" t="s">
        <v>70</v>
      </c>
      <c r="E129" s="312"/>
      <c r="F129" s="312" t="s">
        <v>70</v>
      </c>
      <c r="G129" s="312"/>
    </row>
    <row r="130" spans="1:7" x14ac:dyDescent="0.25">
      <c r="A130" s="346"/>
      <c r="B130" s="78" t="s">
        <v>7</v>
      </c>
      <c r="C130" s="74" t="s">
        <v>254</v>
      </c>
      <c r="D130" s="315">
        <f>D33</f>
        <v>2242.66</v>
      </c>
      <c r="E130" s="316"/>
      <c r="F130" s="315">
        <f>F33</f>
        <v>2312.1799999999998</v>
      </c>
      <c r="G130" s="316"/>
    </row>
    <row r="131" spans="1:7" x14ac:dyDescent="0.25">
      <c r="A131" s="346"/>
      <c r="B131" s="78" t="s">
        <v>9</v>
      </c>
      <c r="C131" s="74" t="s">
        <v>255</v>
      </c>
      <c r="D131" s="315">
        <f>D43</f>
        <v>691.03215</v>
      </c>
      <c r="E131" s="316"/>
      <c r="F131" s="315">
        <f>F43</f>
        <v>733.23394999999994</v>
      </c>
      <c r="G131" s="316"/>
    </row>
    <row r="132" spans="1:7" ht="14.25" customHeight="1" x14ac:dyDescent="0.25">
      <c r="A132" s="346"/>
      <c r="B132" s="78" t="s">
        <v>11</v>
      </c>
      <c r="C132" s="74" t="s">
        <v>256</v>
      </c>
      <c r="D132" s="315">
        <f>D51</f>
        <v>78.036666666666662</v>
      </c>
      <c r="E132" s="316"/>
      <c r="F132" s="315">
        <f>F51</f>
        <v>78.036666666666662</v>
      </c>
      <c r="G132" s="316"/>
    </row>
    <row r="133" spans="1:7" x14ac:dyDescent="0.25">
      <c r="A133" s="346"/>
      <c r="B133" s="78" t="s">
        <v>13</v>
      </c>
      <c r="C133" s="74" t="s">
        <v>257</v>
      </c>
      <c r="D133" s="315">
        <f>D110</f>
        <v>1629.8243278483601</v>
      </c>
      <c r="E133" s="316"/>
      <c r="F133" s="315">
        <f>F110</f>
        <v>1623.01</v>
      </c>
      <c r="G133" s="316"/>
    </row>
    <row r="134" spans="1:7" x14ac:dyDescent="0.25">
      <c r="A134" s="346"/>
      <c r="B134" s="317" t="s">
        <v>71</v>
      </c>
      <c r="C134" s="317"/>
      <c r="D134" s="318">
        <f>SUM(D130:D133)</f>
        <v>4641.5531445150264</v>
      </c>
      <c r="E134" s="319"/>
      <c r="F134" s="318">
        <f>ROUND(SUM(F130:F133),2)</f>
        <v>4746.46</v>
      </c>
      <c r="G134" s="319"/>
    </row>
    <row r="135" spans="1:7" x14ac:dyDescent="0.25">
      <c r="A135" s="346"/>
      <c r="B135" s="78" t="s">
        <v>15</v>
      </c>
      <c r="C135" s="74" t="s">
        <v>258</v>
      </c>
      <c r="D135" s="320">
        <f>E123</f>
        <v>983.45782618039925</v>
      </c>
      <c r="E135" s="321"/>
      <c r="F135" s="320">
        <f>G123</f>
        <v>987.56</v>
      </c>
      <c r="G135" s="321"/>
    </row>
    <row r="136" spans="1:7" x14ac:dyDescent="0.25">
      <c r="A136" s="347"/>
      <c r="B136" s="312" t="s">
        <v>72</v>
      </c>
      <c r="C136" s="312"/>
      <c r="D136" s="313">
        <f>SUM(D134:D135)</f>
        <v>5625.0109706954254</v>
      </c>
      <c r="E136" s="314"/>
      <c r="F136" s="348">
        <f>ROUND(SUM(F134:F135),2)</f>
        <v>5734.02</v>
      </c>
      <c r="G136" s="349"/>
    </row>
  </sheetData>
  <mergeCells count="80">
    <mergeCell ref="D2:E8"/>
    <mergeCell ref="F2:G8"/>
    <mergeCell ref="A1:C1"/>
    <mergeCell ref="D1:E1"/>
    <mergeCell ref="F1:G1"/>
    <mergeCell ref="A2:A136"/>
    <mergeCell ref="F136:G136"/>
    <mergeCell ref="B128:C128"/>
    <mergeCell ref="B100:C100"/>
    <mergeCell ref="B102:C102"/>
    <mergeCell ref="B13:C13"/>
    <mergeCell ref="F131:G131"/>
    <mergeCell ref="F132:G132"/>
    <mergeCell ref="F133:G133"/>
    <mergeCell ref="F134:G134"/>
    <mergeCell ref="F135:G135"/>
    <mergeCell ref="F9:G10"/>
    <mergeCell ref="F11:G11"/>
    <mergeCell ref="F12:G12"/>
    <mergeCell ref="F129:G129"/>
    <mergeCell ref="F130:G130"/>
    <mergeCell ref="D9:E10"/>
    <mergeCell ref="D11:E11"/>
    <mergeCell ref="D12:E12"/>
    <mergeCell ref="B113:C113"/>
    <mergeCell ref="B43:C43"/>
    <mergeCell ref="B64:C64"/>
    <mergeCell ref="B74:C74"/>
    <mergeCell ref="B79:C79"/>
    <mergeCell ref="B88:C88"/>
    <mergeCell ref="B68:C68"/>
    <mergeCell ref="B75:C75"/>
    <mergeCell ref="B80:C80"/>
    <mergeCell ref="B89:C89"/>
    <mergeCell ref="B101:C101"/>
    <mergeCell ref="B99:C99"/>
    <mergeCell ref="B110:C110"/>
    <mergeCell ref="B2:C3"/>
    <mergeCell ref="B123:C123"/>
    <mergeCell ref="B112:C112"/>
    <mergeCell ref="B111:C111"/>
    <mergeCell ref="B66:C66"/>
    <mergeCell ref="B67:C67"/>
    <mergeCell ref="B65:C65"/>
    <mergeCell ref="B45:C45"/>
    <mergeCell ref="B44:C44"/>
    <mergeCell ref="B14:C14"/>
    <mergeCell ref="B7:C7"/>
    <mergeCell ref="B4:C4"/>
    <mergeCell ref="B34:C34"/>
    <mergeCell ref="B23:C23"/>
    <mergeCell ref="B18:C18"/>
    <mergeCell ref="B8:C8"/>
    <mergeCell ref="B124:C124"/>
    <mergeCell ref="B125:C125"/>
    <mergeCell ref="B5:C5"/>
    <mergeCell ref="B17:C17"/>
    <mergeCell ref="B52:C52"/>
    <mergeCell ref="B53:C53"/>
    <mergeCell ref="B54:C54"/>
    <mergeCell ref="B15:C15"/>
    <mergeCell ref="B16:C16"/>
    <mergeCell ref="B33:C33"/>
    <mergeCell ref="B51:C51"/>
    <mergeCell ref="H82:H83"/>
    <mergeCell ref="H85:H86"/>
    <mergeCell ref="B114:C114"/>
    <mergeCell ref="B136:C136"/>
    <mergeCell ref="D136:E136"/>
    <mergeCell ref="D130:E130"/>
    <mergeCell ref="D131:E131"/>
    <mergeCell ref="D132:E132"/>
    <mergeCell ref="D133:E133"/>
    <mergeCell ref="B134:C134"/>
    <mergeCell ref="D134:E134"/>
    <mergeCell ref="D135:E135"/>
    <mergeCell ref="B129:C129"/>
    <mergeCell ref="D129:E129"/>
    <mergeCell ref="B126:C126"/>
    <mergeCell ref="B127:C127"/>
  </mergeCells>
  <printOptions horizontalCentered="1"/>
  <pageMargins left="0.6692913385826772" right="0.6692913385826772" top="2.0472440944881889" bottom="1.2598425196850394" header="0.19685039370078741" footer="0.19685039370078741"/>
  <pageSetup paperSize="9" scale="58" orientation="portrait" r:id="rId1"/>
  <rowBreaks count="1" manualBreakCount="1">
    <brk id="6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36"/>
  <sheetViews>
    <sheetView view="pageBreakPreview" topLeftCell="A72" zoomScaleNormal="100" zoomScaleSheetLayoutView="100" workbookViewId="0">
      <selection activeCell="H85" sqref="H85:H86"/>
    </sheetView>
  </sheetViews>
  <sheetFormatPr defaultRowHeight="15" x14ac:dyDescent="0.25"/>
  <cols>
    <col min="1" max="1" width="6.42578125" customWidth="1"/>
    <col min="2" max="2" width="9.85546875" bestFit="1" customWidth="1"/>
    <col min="3" max="3" width="73.140625" customWidth="1"/>
    <col min="4" max="4" width="12.7109375" customWidth="1"/>
    <col min="5" max="5" width="17.28515625" customWidth="1"/>
    <col min="6" max="6" width="12" customWidth="1"/>
    <col min="7" max="7" width="16.85546875" customWidth="1"/>
    <col min="8" max="8" width="12.5703125" customWidth="1"/>
  </cols>
  <sheetData>
    <row r="1" spans="1:7" x14ac:dyDescent="0.25">
      <c r="A1" s="340"/>
      <c r="B1" s="341"/>
      <c r="C1" s="342"/>
      <c r="D1" s="343"/>
      <c r="E1" s="344"/>
      <c r="F1" s="343"/>
      <c r="G1" s="344"/>
    </row>
    <row r="2" spans="1:7" ht="15" customHeight="1" x14ac:dyDescent="0.25">
      <c r="A2" s="345"/>
      <c r="B2" s="329" t="s">
        <v>273</v>
      </c>
      <c r="C2" s="329"/>
      <c r="D2" s="339"/>
      <c r="E2" s="339"/>
      <c r="F2" s="339"/>
      <c r="G2" s="339"/>
    </row>
    <row r="3" spans="1:7" x14ac:dyDescent="0.25">
      <c r="A3" s="346"/>
      <c r="B3" s="329"/>
      <c r="C3" s="329"/>
      <c r="D3" s="339"/>
      <c r="E3" s="339"/>
      <c r="F3" s="339"/>
      <c r="G3" s="339"/>
    </row>
    <row r="4" spans="1:7" x14ac:dyDescent="0.25">
      <c r="A4" s="346"/>
      <c r="B4" s="332"/>
      <c r="C4" s="332"/>
      <c r="D4" s="339"/>
      <c r="E4" s="339"/>
      <c r="F4" s="339"/>
      <c r="G4" s="339"/>
    </row>
    <row r="5" spans="1:7" x14ac:dyDescent="0.25">
      <c r="A5" s="346"/>
      <c r="B5" s="324" t="s">
        <v>113</v>
      </c>
      <c r="C5" s="324"/>
      <c r="D5" s="339"/>
      <c r="E5" s="339"/>
      <c r="F5" s="339"/>
      <c r="G5" s="339"/>
    </row>
    <row r="6" spans="1:7" x14ac:dyDescent="0.25">
      <c r="A6" s="346"/>
      <c r="B6" s="76" t="s">
        <v>73</v>
      </c>
      <c r="C6" s="76" t="s">
        <v>112</v>
      </c>
      <c r="D6" s="339"/>
      <c r="E6" s="339"/>
      <c r="F6" s="339"/>
      <c r="G6" s="339"/>
    </row>
    <row r="7" spans="1:7" x14ac:dyDescent="0.25">
      <c r="A7" s="346"/>
      <c r="B7" s="332"/>
      <c r="C7" s="332"/>
      <c r="D7" s="339"/>
      <c r="E7" s="339"/>
      <c r="F7" s="339"/>
      <c r="G7" s="339"/>
    </row>
    <row r="8" spans="1:7" x14ac:dyDescent="0.25">
      <c r="A8" s="346"/>
      <c r="B8" s="311" t="s">
        <v>74</v>
      </c>
      <c r="C8" s="311"/>
      <c r="D8" s="339"/>
      <c r="E8" s="339"/>
      <c r="F8" s="339"/>
      <c r="G8" s="339"/>
    </row>
    <row r="9" spans="1:7" x14ac:dyDescent="0.25">
      <c r="A9" s="346"/>
      <c r="B9" s="78" t="s">
        <v>7</v>
      </c>
      <c r="C9" s="74" t="s">
        <v>236</v>
      </c>
      <c r="D9" s="333">
        <v>42815</v>
      </c>
      <c r="E9" s="333"/>
      <c r="F9" s="337">
        <v>43192</v>
      </c>
      <c r="G9" s="337"/>
    </row>
    <row r="10" spans="1:7" x14ac:dyDescent="0.25">
      <c r="A10" s="346"/>
      <c r="B10" s="78" t="s">
        <v>9</v>
      </c>
      <c r="C10" s="74" t="s">
        <v>237</v>
      </c>
      <c r="D10" s="333"/>
      <c r="E10" s="333"/>
      <c r="F10" s="337"/>
      <c r="G10" s="337"/>
    </row>
    <row r="11" spans="1:7" x14ac:dyDescent="0.25">
      <c r="A11" s="346"/>
      <c r="B11" s="78" t="s">
        <v>11</v>
      </c>
      <c r="C11" s="76" t="s">
        <v>235</v>
      </c>
      <c r="D11" s="329" t="s">
        <v>234</v>
      </c>
      <c r="E11" s="329"/>
      <c r="F11" s="338" t="s">
        <v>276</v>
      </c>
      <c r="G11" s="338"/>
    </row>
    <row r="12" spans="1:7" x14ac:dyDescent="0.25">
      <c r="A12" s="346"/>
      <c r="B12" s="78" t="s">
        <v>13</v>
      </c>
      <c r="C12" s="74" t="s">
        <v>75</v>
      </c>
      <c r="D12" s="334" t="s">
        <v>76</v>
      </c>
      <c r="E12" s="334"/>
      <c r="F12" s="334" t="s">
        <v>76</v>
      </c>
      <c r="G12" s="334"/>
    </row>
    <row r="13" spans="1:7" x14ac:dyDescent="0.25">
      <c r="A13" s="346"/>
      <c r="B13" s="332"/>
      <c r="C13" s="332"/>
      <c r="D13" s="83"/>
      <c r="E13" s="73"/>
      <c r="F13" s="83"/>
      <c r="G13" s="73"/>
    </row>
    <row r="14" spans="1:7" x14ac:dyDescent="0.25">
      <c r="A14" s="346"/>
      <c r="B14" s="311" t="s">
        <v>77</v>
      </c>
      <c r="C14" s="311"/>
      <c r="D14" s="87"/>
      <c r="E14" s="73"/>
      <c r="F14" s="87"/>
      <c r="G14" s="73"/>
    </row>
    <row r="15" spans="1:7" ht="45" x14ac:dyDescent="0.25">
      <c r="A15" s="346"/>
      <c r="B15" s="317" t="s">
        <v>78</v>
      </c>
      <c r="C15" s="317"/>
      <c r="D15" s="115" t="s">
        <v>79</v>
      </c>
      <c r="E15" s="115" t="s">
        <v>272</v>
      </c>
      <c r="F15" s="115" t="s">
        <v>79</v>
      </c>
      <c r="G15" s="115" t="s">
        <v>80</v>
      </c>
    </row>
    <row r="16" spans="1:7" x14ac:dyDescent="0.25">
      <c r="A16" s="346"/>
      <c r="B16" s="329" t="s">
        <v>121</v>
      </c>
      <c r="C16" s="329"/>
      <c r="D16" s="116" t="s">
        <v>96</v>
      </c>
      <c r="E16" s="116" t="s">
        <v>97</v>
      </c>
      <c r="F16" s="116" t="s">
        <v>96</v>
      </c>
      <c r="G16" s="116" t="s">
        <v>97</v>
      </c>
    </row>
    <row r="17" spans="1:7" x14ac:dyDescent="0.25">
      <c r="A17" s="346"/>
      <c r="B17" s="325"/>
      <c r="C17" s="325"/>
      <c r="D17" s="84"/>
      <c r="E17" s="84"/>
      <c r="F17" s="84"/>
      <c r="G17" s="84"/>
    </row>
    <row r="18" spans="1:7" ht="15" customHeight="1" x14ac:dyDescent="0.25">
      <c r="A18" s="346"/>
      <c r="B18" s="312" t="s">
        <v>0</v>
      </c>
      <c r="C18" s="312"/>
      <c r="D18" s="85"/>
      <c r="E18" s="114"/>
      <c r="F18" s="85"/>
      <c r="G18" s="114"/>
    </row>
    <row r="19" spans="1:7" x14ac:dyDescent="0.25">
      <c r="A19" s="346"/>
      <c r="B19" s="78">
        <v>1</v>
      </c>
      <c r="C19" s="80" t="s">
        <v>1</v>
      </c>
      <c r="D19" s="78" t="str">
        <f>B16</f>
        <v>GARÇOM</v>
      </c>
      <c r="E19" s="73"/>
      <c r="F19" s="78" t="str">
        <f>B16</f>
        <v>GARÇOM</v>
      </c>
      <c r="G19" s="73"/>
    </row>
    <row r="20" spans="1:7" x14ac:dyDescent="0.25">
      <c r="A20" s="346"/>
      <c r="B20" s="78">
        <v>2</v>
      </c>
      <c r="C20" s="80" t="s">
        <v>2</v>
      </c>
      <c r="D20" s="86">
        <v>1655.52</v>
      </c>
      <c r="E20" s="73"/>
      <c r="F20" s="142">
        <v>1706.84</v>
      </c>
      <c r="G20" s="73"/>
    </row>
    <row r="21" spans="1:7" x14ac:dyDescent="0.25">
      <c r="A21" s="346"/>
      <c r="B21" s="78">
        <v>3</v>
      </c>
      <c r="C21" s="80" t="s">
        <v>87</v>
      </c>
      <c r="D21" s="78" t="str">
        <f>B16</f>
        <v>GARÇOM</v>
      </c>
      <c r="E21" s="73"/>
      <c r="F21" s="78" t="str">
        <f>B16</f>
        <v>GARÇOM</v>
      </c>
      <c r="G21" s="73"/>
    </row>
    <row r="22" spans="1:7" x14ac:dyDescent="0.25">
      <c r="A22" s="346"/>
      <c r="B22" s="78">
        <v>4</v>
      </c>
      <c r="C22" s="80" t="s">
        <v>3</v>
      </c>
      <c r="D22" s="118">
        <v>42736</v>
      </c>
      <c r="E22" s="73"/>
      <c r="F22" s="141">
        <v>43101</v>
      </c>
      <c r="G22" s="73"/>
    </row>
    <row r="23" spans="1:7" x14ac:dyDescent="0.25">
      <c r="A23" s="346"/>
      <c r="B23" s="311" t="s">
        <v>4</v>
      </c>
      <c r="C23" s="311"/>
      <c r="D23" s="87"/>
      <c r="E23" s="73"/>
      <c r="F23" s="87"/>
      <c r="G23" s="73"/>
    </row>
    <row r="24" spans="1:7" x14ac:dyDescent="0.25">
      <c r="A24" s="346"/>
      <c r="B24" s="75">
        <v>1</v>
      </c>
      <c r="C24" s="75" t="s">
        <v>5</v>
      </c>
      <c r="D24" s="75" t="s">
        <v>6</v>
      </c>
      <c r="E24" s="73"/>
      <c r="F24" s="75" t="s">
        <v>6</v>
      </c>
      <c r="G24" s="73"/>
    </row>
    <row r="25" spans="1:7" x14ac:dyDescent="0.25">
      <c r="A25" s="346"/>
      <c r="B25" s="78" t="s">
        <v>7</v>
      </c>
      <c r="C25" s="74" t="s">
        <v>8</v>
      </c>
      <c r="D25" s="88">
        <f>D20</f>
        <v>1655.52</v>
      </c>
      <c r="E25" s="73"/>
      <c r="F25" s="88">
        <f>F20</f>
        <v>1706.84</v>
      </c>
      <c r="G25" s="73"/>
    </row>
    <row r="26" spans="1:7" x14ac:dyDescent="0.25">
      <c r="A26" s="346"/>
      <c r="B26" s="78" t="s">
        <v>9</v>
      </c>
      <c r="C26" s="74" t="s">
        <v>10</v>
      </c>
      <c r="D26" s="88"/>
      <c r="E26" s="73"/>
      <c r="F26" s="88"/>
      <c r="G26" s="73"/>
    </row>
    <row r="27" spans="1:7" x14ac:dyDescent="0.25">
      <c r="A27" s="346"/>
      <c r="B27" s="78" t="s">
        <v>11</v>
      </c>
      <c r="C27" s="74" t="s">
        <v>12</v>
      </c>
      <c r="D27" s="88"/>
      <c r="E27" s="73"/>
      <c r="F27" s="88"/>
      <c r="G27" s="73"/>
    </row>
    <row r="28" spans="1:7" x14ac:dyDescent="0.25">
      <c r="A28" s="346"/>
      <c r="B28" s="78" t="s">
        <v>13</v>
      </c>
      <c r="C28" s="74" t="s">
        <v>14</v>
      </c>
      <c r="D28" s="88"/>
      <c r="E28" s="73"/>
      <c r="F28" s="88"/>
      <c r="G28" s="73"/>
    </row>
    <row r="29" spans="1:7" x14ac:dyDescent="0.25">
      <c r="A29" s="346"/>
      <c r="B29" s="78" t="s">
        <v>15</v>
      </c>
      <c r="C29" s="74" t="s">
        <v>16</v>
      </c>
      <c r="D29" s="88"/>
      <c r="E29" s="73"/>
      <c r="F29" s="88"/>
      <c r="G29" s="73"/>
    </row>
    <row r="30" spans="1:7" x14ac:dyDescent="0.25">
      <c r="A30" s="346"/>
      <c r="B30" s="78" t="s">
        <v>17</v>
      </c>
      <c r="C30" s="74" t="s">
        <v>18</v>
      </c>
      <c r="D30" s="88"/>
      <c r="E30" s="73"/>
      <c r="F30" s="88"/>
      <c r="G30" s="73"/>
    </row>
    <row r="31" spans="1:7" x14ac:dyDescent="0.25">
      <c r="A31" s="346"/>
      <c r="B31" s="78" t="s">
        <v>19</v>
      </c>
      <c r="C31" s="74" t="s">
        <v>110</v>
      </c>
      <c r="D31" s="88"/>
      <c r="E31" s="73"/>
      <c r="F31" s="88"/>
      <c r="G31" s="73"/>
    </row>
    <row r="32" spans="1:7" x14ac:dyDescent="0.25">
      <c r="A32" s="346"/>
      <c r="B32" s="78" t="s">
        <v>20</v>
      </c>
      <c r="C32" s="74" t="s">
        <v>21</v>
      </c>
      <c r="D32" s="88"/>
      <c r="E32" s="73"/>
      <c r="F32" s="88"/>
      <c r="G32" s="73"/>
    </row>
    <row r="33" spans="1:7" x14ac:dyDescent="0.25">
      <c r="A33" s="346"/>
      <c r="B33" s="312" t="s">
        <v>22</v>
      </c>
      <c r="C33" s="312"/>
      <c r="D33" s="89">
        <f>SUM(D25:D32)</f>
        <v>1655.52</v>
      </c>
      <c r="E33" s="114"/>
      <c r="F33" s="89">
        <f>SUM(F25:F32)</f>
        <v>1706.84</v>
      </c>
      <c r="G33" s="114"/>
    </row>
    <row r="34" spans="1:7" x14ac:dyDescent="0.25">
      <c r="A34" s="346"/>
      <c r="B34" s="311" t="s">
        <v>23</v>
      </c>
      <c r="C34" s="311"/>
      <c r="D34" s="87"/>
      <c r="E34" s="73"/>
      <c r="F34" s="87"/>
      <c r="G34" s="73"/>
    </row>
    <row r="35" spans="1:7" x14ac:dyDescent="0.25">
      <c r="A35" s="346"/>
      <c r="B35" s="75">
        <v>2</v>
      </c>
      <c r="C35" s="75" t="s">
        <v>24</v>
      </c>
      <c r="D35" s="75" t="s">
        <v>6</v>
      </c>
      <c r="E35" s="114"/>
      <c r="F35" s="75" t="s">
        <v>6</v>
      </c>
      <c r="G35" s="114"/>
    </row>
    <row r="36" spans="1:7" x14ac:dyDescent="0.25">
      <c r="A36" s="346"/>
      <c r="B36" s="78" t="s">
        <v>7</v>
      </c>
      <c r="C36" s="82" t="s">
        <v>271</v>
      </c>
      <c r="D36" s="90">
        <f>(5*2*20.7365) - D33*6%</f>
        <v>108.03380000000001</v>
      </c>
      <c r="E36" s="73"/>
      <c r="F36" s="90">
        <f>(5*2*20.7365) - F33*6%</f>
        <v>104.95460000000001</v>
      </c>
      <c r="G36" s="73"/>
    </row>
    <row r="37" spans="1:7" x14ac:dyDescent="0.25">
      <c r="A37" s="346"/>
      <c r="B37" s="78" t="s">
        <v>9</v>
      </c>
      <c r="C37" s="74" t="s">
        <v>275</v>
      </c>
      <c r="D37" s="88">
        <f>29.5*20.7365</f>
        <v>611.72675000000004</v>
      </c>
      <c r="E37" s="73"/>
      <c r="F37" s="143">
        <f>31.5*20.7365</f>
        <v>653.19974999999999</v>
      </c>
      <c r="G37" s="73"/>
    </row>
    <row r="38" spans="1:7" x14ac:dyDescent="0.25">
      <c r="A38" s="346"/>
      <c r="B38" s="78" t="s">
        <v>11</v>
      </c>
      <c r="C38" s="74" t="s">
        <v>25</v>
      </c>
      <c r="D38" s="88">
        <v>0</v>
      </c>
      <c r="E38" s="73"/>
      <c r="F38" s="88">
        <v>0</v>
      </c>
      <c r="G38" s="73"/>
    </row>
    <row r="39" spans="1:7" x14ac:dyDescent="0.25">
      <c r="A39" s="346"/>
      <c r="B39" s="78" t="s">
        <v>13</v>
      </c>
      <c r="C39" s="74" t="s">
        <v>81</v>
      </c>
      <c r="D39" s="88"/>
      <c r="E39" s="73"/>
      <c r="F39" s="88"/>
      <c r="G39" s="73"/>
    </row>
    <row r="40" spans="1:7" x14ac:dyDescent="0.25">
      <c r="A40" s="346"/>
      <c r="B40" s="78" t="s">
        <v>15</v>
      </c>
      <c r="C40" s="74" t="s">
        <v>232</v>
      </c>
      <c r="D40" s="117">
        <v>1.5</v>
      </c>
      <c r="E40" s="91" t="s">
        <v>238</v>
      </c>
      <c r="F40" s="117">
        <v>1.5</v>
      </c>
      <c r="G40" s="91"/>
    </row>
    <row r="41" spans="1:7" x14ac:dyDescent="0.25">
      <c r="A41" s="346"/>
      <c r="B41" s="78" t="s">
        <v>17</v>
      </c>
      <c r="C41" s="74" t="s">
        <v>88</v>
      </c>
      <c r="D41" s="92">
        <v>0</v>
      </c>
      <c r="E41" s="73"/>
      <c r="F41" s="92">
        <v>0</v>
      </c>
      <c r="G41" s="73"/>
    </row>
    <row r="42" spans="1:7" x14ac:dyDescent="0.25">
      <c r="A42" s="346"/>
      <c r="B42" s="113" t="s">
        <v>19</v>
      </c>
      <c r="C42" s="82" t="s">
        <v>233</v>
      </c>
      <c r="D42" s="92">
        <v>5</v>
      </c>
      <c r="E42" s="93"/>
      <c r="F42" s="143">
        <v>9.9</v>
      </c>
      <c r="G42" s="93"/>
    </row>
    <row r="43" spans="1:7" x14ac:dyDescent="0.25">
      <c r="A43" s="346"/>
      <c r="B43" s="312" t="s">
        <v>26</v>
      </c>
      <c r="C43" s="312"/>
      <c r="D43" s="89">
        <f>SUM(D36:D42)</f>
        <v>726.26055000000008</v>
      </c>
      <c r="E43" s="114"/>
      <c r="F43" s="89">
        <f>SUM(F36:F42)</f>
        <v>769.55435</v>
      </c>
      <c r="G43" s="114"/>
    </row>
    <row r="44" spans="1:7" ht="15" customHeight="1" x14ac:dyDescent="0.25">
      <c r="A44" s="346"/>
      <c r="B44" s="331" t="s">
        <v>253</v>
      </c>
      <c r="C44" s="331"/>
      <c r="D44" s="82"/>
      <c r="E44" s="82"/>
      <c r="F44" s="82"/>
      <c r="G44" s="82"/>
    </row>
    <row r="45" spans="1:7" x14ac:dyDescent="0.25">
      <c r="A45" s="346"/>
      <c r="B45" s="317" t="s">
        <v>89</v>
      </c>
      <c r="C45" s="317"/>
      <c r="D45" s="76"/>
      <c r="E45" s="73"/>
      <c r="F45" s="76"/>
      <c r="G45" s="73"/>
    </row>
    <row r="46" spans="1:7" x14ac:dyDescent="0.25">
      <c r="A46" s="346"/>
      <c r="B46" s="75">
        <v>3</v>
      </c>
      <c r="C46" s="75" t="s">
        <v>27</v>
      </c>
      <c r="D46" s="75" t="s">
        <v>6</v>
      </c>
      <c r="E46" s="114"/>
      <c r="F46" s="75" t="s">
        <v>6</v>
      </c>
      <c r="G46" s="114"/>
    </row>
    <row r="47" spans="1:7" x14ac:dyDescent="0.25">
      <c r="A47" s="346"/>
      <c r="B47" s="78" t="s">
        <v>7</v>
      </c>
      <c r="C47" s="74" t="s">
        <v>231</v>
      </c>
      <c r="D47" s="88">
        <f>UNIFORMES!G10</f>
        <v>95.983333333333334</v>
      </c>
      <c r="E47" s="73"/>
      <c r="F47" s="88">
        <f>UNIFORMES!G10</f>
        <v>95.983333333333334</v>
      </c>
      <c r="G47" s="73"/>
    </row>
    <row r="48" spans="1:7" x14ac:dyDescent="0.25">
      <c r="A48" s="346"/>
      <c r="B48" s="78" t="s">
        <v>9</v>
      </c>
      <c r="C48" s="74" t="s">
        <v>107</v>
      </c>
      <c r="D48" s="88">
        <v>0</v>
      </c>
      <c r="E48" s="94"/>
      <c r="F48" s="88">
        <v>0</v>
      </c>
      <c r="G48" s="94"/>
    </row>
    <row r="49" spans="1:8" x14ac:dyDescent="0.25">
      <c r="A49" s="346"/>
      <c r="B49" s="113" t="s">
        <v>11</v>
      </c>
      <c r="C49" s="82" t="s">
        <v>108</v>
      </c>
      <c r="D49" s="92">
        <v>0</v>
      </c>
      <c r="E49" s="93"/>
      <c r="F49" s="92">
        <v>0</v>
      </c>
      <c r="G49" s="93"/>
    </row>
    <row r="50" spans="1:8" ht="25.5" x14ac:dyDescent="0.25">
      <c r="A50" s="346"/>
      <c r="B50" s="113" t="s">
        <v>13</v>
      </c>
      <c r="C50" s="82" t="s">
        <v>136</v>
      </c>
      <c r="D50" s="92">
        <f>TREINAMENTO!G12</f>
        <v>9.9499999999999993</v>
      </c>
      <c r="E50" s="93"/>
      <c r="F50" s="92">
        <f>TREINAMENTO!I12</f>
        <v>9.9499999999999993</v>
      </c>
      <c r="G50" s="93"/>
    </row>
    <row r="51" spans="1:8" x14ac:dyDescent="0.25">
      <c r="A51" s="346"/>
      <c r="B51" s="312" t="s">
        <v>28</v>
      </c>
      <c r="C51" s="312"/>
      <c r="D51" s="89">
        <f>SUM(D47:D50)</f>
        <v>105.93333333333334</v>
      </c>
      <c r="E51" s="114"/>
      <c r="F51" s="89">
        <f>SUM(F47:F50)</f>
        <v>105.93333333333334</v>
      </c>
      <c r="G51" s="114"/>
    </row>
    <row r="52" spans="1:8" x14ac:dyDescent="0.25">
      <c r="A52" s="346"/>
      <c r="B52" s="326" t="s">
        <v>247</v>
      </c>
      <c r="C52" s="326"/>
      <c r="D52" s="82"/>
      <c r="E52" s="82"/>
      <c r="F52" s="82"/>
      <c r="G52" s="82"/>
    </row>
    <row r="53" spans="1:8" x14ac:dyDescent="0.25">
      <c r="A53" s="346"/>
      <c r="B53" s="327" t="s">
        <v>29</v>
      </c>
      <c r="C53" s="327"/>
      <c r="D53" s="87"/>
      <c r="E53" s="87"/>
      <c r="F53" s="87"/>
      <c r="G53" s="87"/>
    </row>
    <row r="54" spans="1:8" x14ac:dyDescent="0.25">
      <c r="A54" s="346"/>
      <c r="B54" s="328" t="s">
        <v>82</v>
      </c>
      <c r="C54" s="328"/>
      <c r="D54" s="87"/>
      <c r="E54" s="87"/>
      <c r="F54" s="87"/>
      <c r="G54" s="87"/>
    </row>
    <row r="55" spans="1:8" x14ac:dyDescent="0.25">
      <c r="A55" s="346"/>
      <c r="B55" s="75" t="s">
        <v>30</v>
      </c>
      <c r="C55" s="75" t="s">
        <v>31</v>
      </c>
      <c r="D55" s="75" t="s">
        <v>32</v>
      </c>
      <c r="E55" s="75" t="s">
        <v>6</v>
      </c>
      <c r="F55" s="75" t="s">
        <v>32</v>
      </c>
      <c r="G55" s="75" t="s">
        <v>6</v>
      </c>
    </row>
    <row r="56" spans="1:8" x14ac:dyDescent="0.25">
      <c r="A56" s="346"/>
      <c r="B56" s="78" t="s">
        <v>7</v>
      </c>
      <c r="C56" s="74" t="s">
        <v>33</v>
      </c>
      <c r="D56" s="95">
        <v>0.2</v>
      </c>
      <c r="E56" s="88">
        <f>D56*$D$33</f>
        <v>331.10400000000004</v>
      </c>
      <c r="F56" s="95">
        <v>0.2</v>
      </c>
      <c r="G56" s="88">
        <f>ROUND(F56*$F$33,2)</f>
        <v>341.37</v>
      </c>
      <c r="H56" s="238"/>
    </row>
    <row r="57" spans="1:8" x14ac:dyDescent="0.25">
      <c r="A57" s="346"/>
      <c r="B57" s="78" t="s">
        <v>9</v>
      </c>
      <c r="C57" s="74" t="s">
        <v>34</v>
      </c>
      <c r="D57" s="95">
        <v>1.4999999999999999E-2</v>
      </c>
      <c r="E57" s="88">
        <f t="shared" ref="E57:E63" si="0">D57*$D$33</f>
        <v>24.832799999999999</v>
      </c>
      <c r="F57" s="95">
        <v>1.4999999999999999E-2</v>
      </c>
      <c r="G57" s="88">
        <f>ROUND(F57*$F$33,2)</f>
        <v>25.6</v>
      </c>
    </row>
    <row r="58" spans="1:8" x14ac:dyDescent="0.25">
      <c r="A58" s="346"/>
      <c r="B58" s="78" t="s">
        <v>11</v>
      </c>
      <c r="C58" s="74" t="s">
        <v>35</v>
      </c>
      <c r="D58" s="95">
        <v>0.01</v>
      </c>
      <c r="E58" s="88">
        <f t="shared" si="0"/>
        <v>16.555199999999999</v>
      </c>
      <c r="F58" s="95">
        <v>0.01</v>
      </c>
      <c r="G58" s="88">
        <f t="shared" ref="G58:G63" si="1">ROUND(F58*$F$33,2)</f>
        <v>17.07</v>
      </c>
    </row>
    <row r="59" spans="1:8" x14ac:dyDescent="0.25">
      <c r="A59" s="346"/>
      <c r="B59" s="78" t="s">
        <v>13</v>
      </c>
      <c r="C59" s="74" t="s">
        <v>36</v>
      </c>
      <c r="D59" s="95">
        <v>2E-3</v>
      </c>
      <c r="E59" s="88">
        <f t="shared" si="0"/>
        <v>3.3110400000000002</v>
      </c>
      <c r="F59" s="95">
        <v>2E-3</v>
      </c>
      <c r="G59" s="88">
        <f t="shared" si="1"/>
        <v>3.41</v>
      </c>
    </row>
    <row r="60" spans="1:8" x14ac:dyDescent="0.25">
      <c r="A60" s="346"/>
      <c r="B60" s="78" t="s">
        <v>15</v>
      </c>
      <c r="C60" s="81" t="s">
        <v>37</v>
      </c>
      <c r="D60" s="95">
        <v>2.5000000000000001E-2</v>
      </c>
      <c r="E60" s="88">
        <f t="shared" si="0"/>
        <v>41.388000000000005</v>
      </c>
      <c r="F60" s="95">
        <v>2.5000000000000001E-2</v>
      </c>
      <c r="G60" s="88">
        <f t="shared" si="1"/>
        <v>42.67</v>
      </c>
    </row>
    <row r="61" spans="1:8" x14ac:dyDescent="0.25">
      <c r="A61" s="346"/>
      <c r="B61" s="78" t="s">
        <v>17</v>
      </c>
      <c r="C61" s="74" t="s">
        <v>38</v>
      </c>
      <c r="D61" s="95">
        <v>0.08</v>
      </c>
      <c r="E61" s="88">
        <f t="shared" si="0"/>
        <v>132.44159999999999</v>
      </c>
      <c r="F61" s="95">
        <v>0.08</v>
      </c>
      <c r="G61" s="88">
        <f t="shared" si="1"/>
        <v>136.55000000000001</v>
      </c>
    </row>
    <row r="62" spans="1:8" x14ac:dyDescent="0.25">
      <c r="A62" s="346"/>
      <c r="B62" s="78" t="s">
        <v>19</v>
      </c>
      <c r="C62" s="74" t="s">
        <v>90</v>
      </c>
      <c r="D62" s="95">
        <v>1.66E-2</v>
      </c>
      <c r="E62" s="88">
        <f t="shared" si="0"/>
        <v>27.481632000000001</v>
      </c>
      <c r="F62" s="140">
        <v>1.9800000000000002E-2</v>
      </c>
      <c r="G62" s="88">
        <f t="shared" si="1"/>
        <v>33.799999999999997</v>
      </c>
    </row>
    <row r="63" spans="1:8" x14ac:dyDescent="0.25">
      <c r="A63" s="346"/>
      <c r="B63" s="78" t="s">
        <v>20</v>
      </c>
      <c r="C63" s="74" t="s">
        <v>39</v>
      </c>
      <c r="D63" s="95">
        <v>6.0000000000000001E-3</v>
      </c>
      <c r="E63" s="88">
        <f t="shared" si="0"/>
        <v>9.9331200000000006</v>
      </c>
      <c r="F63" s="95">
        <v>6.0000000000000001E-3</v>
      </c>
      <c r="G63" s="88">
        <f t="shared" si="1"/>
        <v>10.24</v>
      </c>
    </row>
    <row r="64" spans="1:8" x14ac:dyDescent="0.25">
      <c r="A64" s="346"/>
      <c r="B64" s="312" t="s">
        <v>40</v>
      </c>
      <c r="C64" s="312"/>
      <c r="D64" s="96">
        <f>SUM(D56:D63)</f>
        <v>0.35460000000000008</v>
      </c>
      <c r="E64" s="97">
        <f>SUM(E56:E63)</f>
        <v>587.04739200000006</v>
      </c>
      <c r="F64" s="96">
        <f>SUM(F56:F63)</f>
        <v>0.35780000000000006</v>
      </c>
      <c r="G64" s="97">
        <f>ROUND(SUM(G56:G63),2)</f>
        <v>610.71</v>
      </c>
    </row>
    <row r="65" spans="1:8" ht="15" customHeight="1" x14ac:dyDescent="0.25">
      <c r="A65" s="346"/>
      <c r="B65" s="331" t="s">
        <v>250</v>
      </c>
      <c r="C65" s="331"/>
      <c r="D65" s="82"/>
      <c r="E65" s="82"/>
      <c r="F65" s="82"/>
      <c r="G65" s="82"/>
    </row>
    <row r="66" spans="1:8" x14ac:dyDescent="0.25">
      <c r="A66" s="346"/>
      <c r="B66" s="331" t="s">
        <v>251</v>
      </c>
      <c r="C66" s="331"/>
      <c r="D66" s="82"/>
      <c r="E66" s="82"/>
      <c r="F66" s="82"/>
      <c r="G66" s="82"/>
    </row>
    <row r="67" spans="1:8" ht="15" customHeight="1" x14ac:dyDescent="0.25">
      <c r="A67" s="346"/>
      <c r="B67" s="331" t="s">
        <v>252</v>
      </c>
      <c r="C67" s="331"/>
      <c r="D67" s="82"/>
      <c r="E67" s="82"/>
      <c r="F67" s="82"/>
      <c r="G67" s="82"/>
    </row>
    <row r="68" spans="1:8" x14ac:dyDescent="0.25">
      <c r="A68" s="346"/>
      <c r="B68" s="328" t="s">
        <v>83</v>
      </c>
      <c r="C68" s="328"/>
      <c r="D68" s="98"/>
      <c r="E68" s="98"/>
      <c r="F68" s="98"/>
      <c r="G68" s="98"/>
    </row>
    <row r="69" spans="1:8" x14ac:dyDescent="0.25">
      <c r="A69" s="346"/>
      <c r="B69" s="75" t="s">
        <v>41</v>
      </c>
      <c r="C69" s="75" t="s">
        <v>91</v>
      </c>
      <c r="D69" s="75" t="s">
        <v>32</v>
      </c>
      <c r="E69" s="75" t="s">
        <v>6</v>
      </c>
      <c r="F69" s="75" t="s">
        <v>32</v>
      </c>
      <c r="G69" s="75" t="s">
        <v>6</v>
      </c>
    </row>
    <row r="70" spans="1:8" x14ac:dyDescent="0.25">
      <c r="A70" s="346"/>
      <c r="B70" s="78" t="s">
        <v>7</v>
      </c>
      <c r="C70" s="74" t="s">
        <v>42</v>
      </c>
      <c r="D70" s="99">
        <v>8.3299999999999999E-2</v>
      </c>
      <c r="E70" s="88">
        <f>D70*$D$33</f>
        <v>137.90481600000001</v>
      </c>
      <c r="F70" s="99">
        <v>8.3299999999999999E-2</v>
      </c>
      <c r="G70" s="88">
        <f>ROUND(F70*$F$33,2)</f>
        <v>142.18</v>
      </c>
      <c r="H70" s="238"/>
    </row>
    <row r="71" spans="1:8" x14ac:dyDescent="0.25">
      <c r="A71" s="346"/>
      <c r="B71" s="78" t="s">
        <v>9</v>
      </c>
      <c r="C71" s="74" t="s">
        <v>92</v>
      </c>
      <c r="D71" s="99">
        <v>2.7799999999999998E-2</v>
      </c>
      <c r="E71" s="88">
        <f>D71*$D$33</f>
        <v>46.023455999999996</v>
      </c>
      <c r="F71" s="99">
        <v>2.7799999999999998E-2</v>
      </c>
      <c r="G71" s="88">
        <f t="shared" ref="G71" si="2">ROUND(F71*$F$33,2)</f>
        <v>47.45</v>
      </c>
    </row>
    <row r="72" spans="1:8" x14ac:dyDescent="0.25">
      <c r="A72" s="346"/>
      <c r="B72" s="78"/>
      <c r="C72" s="78" t="s">
        <v>43</v>
      </c>
      <c r="D72" s="100">
        <f>SUM(D70:D71)</f>
        <v>0.1111</v>
      </c>
      <c r="E72" s="101">
        <f>SUM(E70:E71)</f>
        <v>183.92827199999999</v>
      </c>
      <c r="F72" s="100">
        <f>SUM(F70:F71)</f>
        <v>0.1111</v>
      </c>
      <c r="G72" s="101">
        <f>ROUND(SUM(G70:G71),2)</f>
        <v>189.63</v>
      </c>
    </row>
    <row r="73" spans="1:8" x14ac:dyDescent="0.25">
      <c r="A73" s="346"/>
      <c r="B73" s="78" t="s">
        <v>9</v>
      </c>
      <c r="C73" s="74" t="s">
        <v>267</v>
      </c>
      <c r="D73" s="95">
        <f>D64*D72</f>
        <v>3.9396060000000011E-2</v>
      </c>
      <c r="E73" s="88">
        <f>D73*$D$33</f>
        <v>65.220965251200013</v>
      </c>
      <c r="F73" s="95">
        <f>F64*F72</f>
        <v>3.9751580000000009E-2</v>
      </c>
      <c r="G73" s="88">
        <f>ROUND(F73*$F$33,2)</f>
        <v>67.849999999999994</v>
      </c>
    </row>
    <row r="74" spans="1:8" x14ac:dyDescent="0.25">
      <c r="A74" s="346"/>
      <c r="B74" s="312" t="s">
        <v>40</v>
      </c>
      <c r="C74" s="312"/>
      <c r="D74" s="96">
        <f>SUM(D73,D72)</f>
        <v>0.15049606000000001</v>
      </c>
      <c r="E74" s="89">
        <f>SUM(E73,E72)</f>
        <v>249.14923725120002</v>
      </c>
      <c r="F74" s="96">
        <f>SUM(F73,F72)</f>
        <v>0.15085158000000001</v>
      </c>
      <c r="G74" s="89">
        <f>SUM(G73,G72)</f>
        <v>257.48</v>
      </c>
    </row>
    <row r="75" spans="1:8" x14ac:dyDescent="0.25">
      <c r="A75" s="346"/>
      <c r="B75" s="336" t="s">
        <v>44</v>
      </c>
      <c r="C75" s="336"/>
      <c r="D75" s="87"/>
      <c r="E75" s="87"/>
      <c r="F75" s="87"/>
      <c r="G75" s="87"/>
    </row>
    <row r="76" spans="1:8" x14ac:dyDescent="0.25">
      <c r="A76" s="346"/>
      <c r="B76" s="75" t="s">
        <v>45</v>
      </c>
      <c r="C76" s="75" t="s">
        <v>46</v>
      </c>
      <c r="D76" s="75" t="s">
        <v>32</v>
      </c>
      <c r="E76" s="75" t="s">
        <v>6</v>
      </c>
      <c r="F76" s="75" t="s">
        <v>32</v>
      </c>
      <c r="G76" s="75" t="s">
        <v>6</v>
      </c>
    </row>
    <row r="77" spans="1:8" x14ac:dyDescent="0.25">
      <c r="A77" s="346"/>
      <c r="B77" s="78" t="s">
        <v>7</v>
      </c>
      <c r="C77" s="74" t="s">
        <v>111</v>
      </c>
      <c r="D77" s="102">
        <v>0</v>
      </c>
      <c r="E77" s="92">
        <f>D77*$D$33</f>
        <v>0</v>
      </c>
      <c r="F77" s="102">
        <v>0</v>
      </c>
      <c r="G77" s="92">
        <f>ROUND(F77*$D$33,2)</f>
        <v>0</v>
      </c>
    </row>
    <row r="78" spans="1:8" x14ac:dyDescent="0.25">
      <c r="A78" s="346"/>
      <c r="B78" s="78" t="s">
        <v>9</v>
      </c>
      <c r="C78" s="74" t="s">
        <v>268</v>
      </c>
      <c r="D78" s="95">
        <f>D64*D77</f>
        <v>0</v>
      </c>
      <c r="E78" s="88">
        <f>D78*$D$33</f>
        <v>0</v>
      </c>
      <c r="F78" s="95">
        <f>F64*F77</f>
        <v>0</v>
      </c>
      <c r="G78" s="88">
        <f>F78*$D$33</f>
        <v>0</v>
      </c>
    </row>
    <row r="79" spans="1:8" x14ac:dyDescent="0.25">
      <c r="A79" s="346"/>
      <c r="B79" s="312" t="s">
        <v>40</v>
      </c>
      <c r="C79" s="312"/>
      <c r="D79" s="96">
        <f>SUM(D78,D77)</f>
        <v>0</v>
      </c>
      <c r="E79" s="89">
        <f>SUM(E78,E77)</f>
        <v>0</v>
      </c>
      <c r="F79" s="96">
        <f>SUM(F78,F77)</f>
        <v>0</v>
      </c>
      <c r="G79" s="89">
        <f>SUM(G78,G77)</f>
        <v>0</v>
      </c>
    </row>
    <row r="80" spans="1:8" x14ac:dyDescent="0.25">
      <c r="A80" s="346"/>
      <c r="B80" s="336" t="s">
        <v>86</v>
      </c>
      <c r="C80" s="336"/>
      <c r="D80" s="87"/>
      <c r="E80" s="87"/>
      <c r="F80" s="87"/>
      <c r="G80" s="87"/>
    </row>
    <row r="81" spans="1:8" x14ac:dyDescent="0.25">
      <c r="A81" s="346"/>
      <c r="B81" s="75" t="s">
        <v>47</v>
      </c>
      <c r="C81" s="75" t="s">
        <v>48</v>
      </c>
      <c r="D81" s="75" t="s">
        <v>32</v>
      </c>
      <c r="E81" s="75" t="s">
        <v>6</v>
      </c>
      <c r="F81" s="75" t="s">
        <v>32</v>
      </c>
      <c r="G81" s="75" t="s">
        <v>6</v>
      </c>
    </row>
    <row r="82" spans="1:8" ht="15" customHeight="1" x14ac:dyDescent="0.25">
      <c r="A82" s="346"/>
      <c r="B82" s="78" t="s">
        <v>7</v>
      </c>
      <c r="C82" s="74" t="s">
        <v>49</v>
      </c>
      <c r="D82" s="240">
        <v>4.1999999999999997E-3</v>
      </c>
      <c r="E82" s="88">
        <f>D82*$D$33</f>
        <v>6.9531839999999994</v>
      </c>
      <c r="F82" s="245">
        <f>0.1*D82</f>
        <v>4.2000000000000002E-4</v>
      </c>
      <c r="G82" s="246">
        <f t="shared" ref="G82:G86" si="3">ROUND(F82*$F$33,2)</f>
        <v>0.72</v>
      </c>
      <c r="H82" s="310" t="s">
        <v>372</v>
      </c>
    </row>
    <row r="83" spans="1:8" x14ac:dyDescent="0.25">
      <c r="A83" s="346"/>
      <c r="B83" s="78" t="s">
        <v>9</v>
      </c>
      <c r="C83" s="74" t="s">
        <v>269</v>
      </c>
      <c r="D83" s="240">
        <f>D64*D82</f>
        <v>1.4893200000000004E-3</v>
      </c>
      <c r="E83" s="88">
        <f t="shared" ref="E83:E87" si="4">D83*$D$33</f>
        <v>2.4655990464000004</v>
      </c>
      <c r="F83" s="245">
        <f>F64*F82</f>
        <v>1.5027600000000002E-4</v>
      </c>
      <c r="G83" s="246">
        <f>ROUND(F83*$F$33,2)</f>
        <v>0.26</v>
      </c>
      <c r="H83" s="310"/>
    </row>
    <row r="84" spans="1:8" x14ac:dyDescent="0.25">
      <c r="A84" s="346"/>
      <c r="B84" s="78" t="s">
        <v>11</v>
      </c>
      <c r="C84" s="74" t="s">
        <v>84</v>
      </c>
      <c r="D84" s="240">
        <v>2.0999999999999999E-3</v>
      </c>
      <c r="E84" s="88">
        <f t="shared" si="4"/>
        <v>3.4765919999999997</v>
      </c>
      <c r="F84" s="242">
        <v>2.0999999999999999E-3</v>
      </c>
      <c r="G84" s="88">
        <f t="shared" si="3"/>
        <v>3.58</v>
      </c>
    </row>
    <row r="85" spans="1:8" x14ac:dyDescent="0.25">
      <c r="A85" s="346"/>
      <c r="B85" s="78" t="s">
        <v>13</v>
      </c>
      <c r="C85" s="74" t="s">
        <v>50</v>
      </c>
      <c r="D85" s="99">
        <v>1.9400000000000001E-2</v>
      </c>
      <c r="E85" s="88">
        <f t="shared" si="4"/>
        <v>32.117088000000003</v>
      </c>
      <c r="F85" s="245">
        <f>0.1*D85</f>
        <v>1.9400000000000001E-3</v>
      </c>
      <c r="G85" s="246">
        <f t="shared" si="3"/>
        <v>3.31</v>
      </c>
      <c r="H85" s="310" t="s">
        <v>372</v>
      </c>
    </row>
    <row r="86" spans="1:8" x14ac:dyDescent="0.25">
      <c r="A86" s="346"/>
      <c r="B86" s="78" t="s">
        <v>15</v>
      </c>
      <c r="C86" s="74" t="s">
        <v>270</v>
      </c>
      <c r="D86" s="95">
        <f>D64*D85</f>
        <v>6.8792400000000017E-3</v>
      </c>
      <c r="E86" s="88">
        <f t="shared" si="4"/>
        <v>11.388719404800003</v>
      </c>
      <c r="F86" s="245">
        <f>F64*F85</f>
        <v>6.9413200000000019E-4</v>
      </c>
      <c r="G86" s="246">
        <f t="shared" si="3"/>
        <v>1.18</v>
      </c>
      <c r="H86" s="310"/>
    </row>
    <row r="87" spans="1:8" x14ac:dyDescent="0.25">
      <c r="A87" s="346"/>
      <c r="B87" s="78" t="s">
        <v>17</v>
      </c>
      <c r="C87" s="80" t="s">
        <v>85</v>
      </c>
      <c r="D87" s="95">
        <v>9.7000000000000003E-3</v>
      </c>
      <c r="E87" s="88">
        <f t="shared" si="4"/>
        <v>16.058544000000001</v>
      </c>
      <c r="F87" s="95">
        <v>9.7000000000000003E-3</v>
      </c>
      <c r="G87" s="88">
        <f>ROUND(F87*$F$33,2)</f>
        <v>16.559999999999999</v>
      </c>
    </row>
    <row r="88" spans="1:8" x14ac:dyDescent="0.25">
      <c r="A88" s="346"/>
      <c r="B88" s="312" t="s">
        <v>51</v>
      </c>
      <c r="C88" s="312"/>
      <c r="D88" s="96">
        <f>SUM(D82:D87)</f>
        <v>4.3768560000000005E-2</v>
      </c>
      <c r="E88" s="89">
        <f>SUM(E82:E87)</f>
        <v>72.459726451199998</v>
      </c>
      <c r="F88" s="96">
        <f>SUM(F82:F87)</f>
        <v>1.5004408E-2</v>
      </c>
      <c r="G88" s="89">
        <f>SUM(G82:G87)</f>
        <v>25.61</v>
      </c>
    </row>
    <row r="89" spans="1:8" x14ac:dyDescent="0.25">
      <c r="A89" s="346"/>
      <c r="B89" s="336" t="s">
        <v>52</v>
      </c>
      <c r="C89" s="336"/>
      <c r="D89" s="87"/>
      <c r="E89" s="87"/>
      <c r="F89" s="87"/>
      <c r="G89" s="87"/>
    </row>
    <row r="90" spans="1:8" x14ac:dyDescent="0.25">
      <c r="A90" s="346"/>
      <c r="B90" s="75" t="s">
        <v>53</v>
      </c>
      <c r="C90" s="75" t="s">
        <v>54</v>
      </c>
      <c r="D90" s="75" t="s">
        <v>32</v>
      </c>
      <c r="E90" s="75" t="s">
        <v>6</v>
      </c>
      <c r="F90" s="75" t="s">
        <v>32</v>
      </c>
      <c r="G90" s="75" t="s">
        <v>6</v>
      </c>
    </row>
    <row r="91" spans="1:8" x14ac:dyDescent="0.25">
      <c r="A91" s="346"/>
      <c r="B91" s="78" t="s">
        <v>7</v>
      </c>
      <c r="C91" s="74" t="s">
        <v>229</v>
      </c>
      <c r="D91" s="240">
        <v>0.1111</v>
      </c>
      <c r="E91" s="88">
        <f>D91*$D$33</f>
        <v>183.92827199999999</v>
      </c>
      <c r="F91" s="240">
        <v>0.1111</v>
      </c>
      <c r="G91" s="88">
        <f t="shared" ref="G91:G95" si="5">ROUND(F91*$F$33,2)</f>
        <v>189.63</v>
      </c>
      <c r="H91" s="238"/>
    </row>
    <row r="92" spans="1:8" x14ac:dyDescent="0.25">
      <c r="A92" s="346"/>
      <c r="B92" s="78" t="s">
        <v>9</v>
      </c>
      <c r="C92" s="74" t="s">
        <v>55</v>
      </c>
      <c r="D92" s="240">
        <v>1.3899999999999999E-2</v>
      </c>
      <c r="E92" s="88">
        <f t="shared" ref="E92:E95" si="6">D92*$D$33</f>
        <v>23.011727999999998</v>
      </c>
      <c r="F92" s="240">
        <v>1.3899999999999999E-2</v>
      </c>
      <c r="G92" s="88">
        <f t="shared" si="5"/>
        <v>23.73</v>
      </c>
    </row>
    <row r="93" spans="1:8" x14ac:dyDescent="0.25">
      <c r="A93" s="346"/>
      <c r="B93" s="78" t="s">
        <v>11</v>
      </c>
      <c r="C93" s="74" t="s">
        <v>230</v>
      </c>
      <c r="D93" s="241">
        <v>2.0000000000000001E-4</v>
      </c>
      <c r="E93" s="88">
        <f t="shared" si="6"/>
        <v>0.33110400000000001</v>
      </c>
      <c r="F93" s="241">
        <v>2.0000000000000001E-4</v>
      </c>
      <c r="G93" s="88">
        <f t="shared" si="5"/>
        <v>0.34</v>
      </c>
    </row>
    <row r="94" spans="1:8" x14ac:dyDescent="0.25">
      <c r="A94" s="346"/>
      <c r="B94" s="78" t="s">
        <v>13</v>
      </c>
      <c r="C94" s="74" t="s">
        <v>56</v>
      </c>
      <c r="D94" s="241">
        <v>2.8E-3</v>
      </c>
      <c r="E94" s="88">
        <f t="shared" si="6"/>
        <v>4.6354559999999996</v>
      </c>
      <c r="F94" s="241">
        <v>2.8E-3</v>
      </c>
      <c r="G94" s="88">
        <f t="shared" si="5"/>
        <v>4.78</v>
      </c>
    </row>
    <row r="95" spans="1:8" x14ac:dyDescent="0.25">
      <c r="A95" s="346"/>
      <c r="B95" s="78" t="s">
        <v>15</v>
      </c>
      <c r="C95" s="74" t="s">
        <v>57</v>
      </c>
      <c r="D95" s="240">
        <v>3.3E-3</v>
      </c>
      <c r="E95" s="88">
        <f t="shared" si="6"/>
        <v>5.4632160000000001</v>
      </c>
      <c r="F95" s="240">
        <v>3.3E-3</v>
      </c>
      <c r="G95" s="88">
        <f t="shared" si="5"/>
        <v>5.63</v>
      </c>
    </row>
    <row r="96" spans="1:8" x14ac:dyDescent="0.25">
      <c r="A96" s="346"/>
      <c r="B96" s="78" t="s">
        <v>17</v>
      </c>
      <c r="C96" s="74" t="s">
        <v>21</v>
      </c>
      <c r="D96" s="99"/>
      <c r="E96" s="88"/>
      <c r="F96" s="99"/>
      <c r="G96" s="88"/>
    </row>
    <row r="97" spans="1:8" x14ac:dyDescent="0.25">
      <c r="A97" s="346"/>
      <c r="B97" s="78"/>
      <c r="C97" s="79" t="s">
        <v>43</v>
      </c>
      <c r="D97" s="112">
        <f>SUM(D91:D96)</f>
        <v>0.1313</v>
      </c>
      <c r="E97" s="103">
        <f>SUM(E91:E96)</f>
        <v>217.369776</v>
      </c>
      <c r="F97" s="112">
        <f>SUM(F91:F96)</f>
        <v>0.1313</v>
      </c>
      <c r="G97" s="103">
        <f>SUM(G91:G96)</f>
        <v>224.10999999999999</v>
      </c>
    </row>
    <row r="98" spans="1:8" x14ac:dyDescent="0.25">
      <c r="A98" s="346"/>
      <c r="B98" s="78" t="s">
        <v>17</v>
      </c>
      <c r="C98" s="74" t="s">
        <v>266</v>
      </c>
      <c r="D98" s="240">
        <f>D64*D97</f>
        <v>4.6558980000000014E-2</v>
      </c>
      <c r="E98" s="88">
        <f>D98*$D$33</f>
        <v>77.079322569600023</v>
      </c>
      <c r="F98" s="240">
        <f>F64*F97</f>
        <v>4.697914000000001E-2</v>
      </c>
      <c r="G98" s="88">
        <f>ROUND(F98*$F$33,2)</f>
        <v>80.19</v>
      </c>
      <c r="H98" s="238"/>
    </row>
    <row r="99" spans="1:8" x14ac:dyDescent="0.25">
      <c r="A99" s="346"/>
      <c r="B99" s="330" t="s">
        <v>51</v>
      </c>
      <c r="C99" s="330"/>
      <c r="D99" s="96">
        <f>SUM(D97:D98)</f>
        <v>0.17785898</v>
      </c>
      <c r="E99" s="89">
        <f>SUM(E97:E98)</f>
        <v>294.44909856960004</v>
      </c>
      <c r="F99" s="96">
        <f>SUM(F97:F98)</f>
        <v>0.17827914</v>
      </c>
      <c r="G99" s="89">
        <f>SUM(G97:G98)</f>
        <v>304.29999999999995</v>
      </c>
    </row>
    <row r="100" spans="1:8" x14ac:dyDescent="0.25">
      <c r="A100" s="346"/>
      <c r="B100" s="322"/>
      <c r="C100" s="322"/>
      <c r="D100" s="73"/>
      <c r="E100" s="73"/>
      <c r="F100" s="73"/>
      <c r="G100" s="73"/>
    </row>
    <row r="101" spans="1:8" x14ac:dyDescent="0.25">
      <c r="A101" s="346"/>
      <c r="B101" s="311" t="s">
        <v>58</v>
      </c>
      <c r="C101" s="311"/>
      <c r="D101" s="87"/>
      <c r="E101" s="73"/>
      <c r="F101" s="87"/>
      <c r="G101" s="73"/>
    </row>
    <row r="102" spans="1:8" x14ac:dyDescent="0.25">
      <c r="A102" s="346"/>
      <c r="B102" s="350"/>
      <c r="C102" s="350"/>
      <c r="D102" s="73"/>
      <c r="E102" s="73"/>
      <c r="F102" s="73"/>
      <c r="G102" s="73"/>
    </row>
    <row r="103" spans="1:8" x14ac:dyDescent="0.25">
      <c r="A103" s="346"/>
      <c r="B103" s="75">
        <v>4</v>
      </c>
      <c r="C103" s="75" t="s">
        <v>59</v>
      </c>
      <c r="D103" s="75" t="s">
        <v>6</v>
      </c>
      <c r="E103" s="73"/>
      <c r="F103" s="75" t="s">
        <v>6</v>
      </c>
      <c r="G103" s="73"/>
    </row>
    <row r="104" spans="1:8" x14ac:dyDescent="0.25">
      <c r="A104" s="346"/>
      <c r="B104" s="78" t="s">
        <v>30</v>
      </c>
      <c r="C104" s="74" t="s">
        <v>93</v>
      </c>
      <c r="D104" s="104">
        <f>E64</f>
        <v>587.04739200000006</v>
      </c>
      <c r="E104" s="73"/>
      <c r="F104" s="104">
        <f>G64</f>
        <v>610.71</v>
      </c>
      <c r="G104" s="73"/>
    </row>
    <row r="105" spans="1:8" x14ac:dyDescent="0.25">
      <c r="A105" s="346"/>
      <c r="B105" s="78" t="s">
        <v>41</v>
      </c>
      <c r="C105" s="74" t="s">
        <v>94</v>
      </c>
      <c r="D105" s="104">
        <f>E74</f>
        <v>249.14923725120002</v>
      </c>
      <c r="E105" s="73"/>
      <c r="F105" s="104">
        <f>G74</f>
        <v>257.48</v>
      </c>
      <c r="G105" s="73"/>
    </row>
    <row r="106" spans="1:8" x14ac:dyDescent="0.25">
      <c r="A106" s="346"/>
      <c r="B106" s="78" t="s">
        <v>45</v>
      </c>
      <c r="C106" s="74" t="s">
        <v>46</v>
      </c>
      <c r="D106" s="104">
        <f>E79</f>
        <v>0</v>
      </c>
      <c r="E106" s="73"/>
      <c r="F106" s="104">
        <f>G79</f>
        <v>0</v>
      </c>
      <c r="G106" s="73"/>
    </row>
    <row r="107" spans="1:8" x14ac:dyDescent="0.25">
      <c r="A107" s="346"/>
      <c r="B107" s="78" t="s">
        <v>47</v>
      </c>
      <c r="C107" s="74" t="s">
        <v>60</v>
      </c>
      <c r="D107" s="104">
        <f>E88</f>
        <v>72.459726451199998</v>
      </c>
      <c r="E107" s="73"/>
      <c r="F107" s="104">
        <f>G88</f>
        <v>25.61</v>
      </c>
      <c r="G107" s="73"/>
    </row>
    <row r="108" spans="1:8" x14ac:dyDescent="0.25">
      <c r="A108" s="346"/>
      <c r="B108" s="78" t="s">
        <v>53</v>
      </c>
      <c r="C108" s="74" t="s">
        <v>61</v>
      </c>
      <c r="D108" s="104">
        <f>E99</f>
        <v>294.44909856960004</v>
      </c>
      <c r="E108" s="73"/>
      <c r="F108" s="104">
        <f>G99</f>
        <v>304.29999999999995</v>
      </c>
      <c r="G108" s="73"/>
    </row>
    <row r="109" spans="1:8" x14ac:dyDescent="0.25">
      <c r="A109" s="346"/>
      <c r="B109" s="78" t="s">
        <v>62</v>
      </c>
      <c r="C109" s="74" t="s">
        <v>63</v>
      </c>
      <c r="D109" s="81"/>
      <c r="E109" s="73"/>
      <c r="F109" s="81"/>
      <c r="G109" s="73"/>
    </row>
    <row r="110" spans="1:8" x14ac:dyDescent="0.25">
      <c r="A110" s="346"/>
      <c r="B110" s="330" t="s">
        <v>51</v>
      </c>
      <c r="C110" s="330"/>
      <c r="D110" s="105">
        <f>SUM(D104:D109)</f>
        <v>1203.1054542720001</v>
      </c>
      <c r="E110" s="73"/>
      <c r="F110" s="105">
        <f>SUM(F104:F109)</f>
        <v>1198.0999999999999</v>
      </c>
      <c r="G110" s="73"/>
    </row>
    <row r="111" spans="1:8" x14ac:dyDescent="0.25">
      <c r="A111" s="346"/>
      <c r="B111" s="331" t="s">
        <v>264</v>
      </c>
      <c r="C111" s="331"/>
      <c r="D111" s="82"/>
      <c r="E111" s="82"/>
      <c r="F111" s="82"/>
      <c r="G111" s="82"/>
    </row>
    <row r="112" spans="1:8" ht="15" customHeight="1" x14ac:dyDescent="0.25">
      <c r="A112" s="346"/>
      <c r="B112" s="331" t="s">
        <v>265</v>
      </c>
      <c r="C112" s="331"/>
      <c r="D112" s="82"/>
      <c r="E112" s="82"/>
      <c r="F112" s="82"/>
      <c r="G112" s="82"/>
    </row>
    <row r="113" spans="1:7" ht="11.25" customHeight="1" x14ac:dyDescent="0.25">
      <c r="A113" s="346"/>
      <c r="B113" s="335"/>
      <c r="C113" s="335"/>
      <c r="D113" s="77"/>
      <c r="E113" s="77"/>
      <c r="F113" s="77"/>
      <c r="G113" s="77"/>
    </row>
    <row r="114" spans="1:7" x14ac:dyDescent="0.25">
      <c r="A114" s="346"/>
      <c r="B114" s="311" t="s">
        <v>64</v>
      </c>
      <c r="C114" s="311"/>
      <c r="D114" s="87"/>
      <c r="E114" s="87"/>
      <c r="F114" s="87"/>
      <c r="G114" s="87"/>
    </row>
    <row r="115" spans="1:7" x14ac:dyDescent="0.25">
      <c r="A115" s="346"/>
      <c r="B115" s="75">
        <v>5</v>
      </c>
      <c r="C115" s="75" t="s">
        <v>65</v>
      </c>
      <c r="D115" s="75" t="s">
        <v>32</v>
      </c>
      <c r="E115" s="75" t="s">
        <v>6</v>
      </c>
      <c r="F115" s="75" t="s">
        <v>32</v>
      </c>
      <c r="G115" s="75" t="s">
        <v>6</v>
      </c>
    </row>
    <row r="116" spans="1:7" x14ac:dyDescent="0.25">
      <c r="A116" s="346"/>
      <c r="B116" s="78" t="s">
        <v>7</v>
      </c>
      <c r="C116" s="74" t="s">
        <v>66</v>
      </c>
      <c r="D116" s="100">
        <v>0.01</v>
      </c>
      <c r="E116" s="106">
        <f>SUM(D33+D43+D51+D110)*D116</f>
        <v>36.908193376053333</v>
      </c>
      <c r="F116" s="100">
        <v>0.01</v>
      </c>
      <c r="G116" s="106">
        <f>ROUND(SUM(F33+F43+F51+F110)*F116,2)</f>
        <v>37.799999999999997</v>
      </c>
    </row>
    <row r="117" spans="1:7" x14ac:dyDescent="0.25">
      <c r="A117" s="346"/>
      <c r="B117" s="78" t="s">
        <v>9</v>
      </c>
      <c r="C117" s="76" t="s">
        <v>67</v>
      </c>
      <c r="D117" s="112">
        <v>0.14249999999999999</v>
      </c>
      <c r="E117" s="106"/>
      <c r="F117" s="112">
        <v>0.14249999999999999</v>
      </c>
      <c r="G117" s="106"/>
    </row>
    <row r="118" spans="1:7" x14ac:dyDescent="0.25">
      <c r="A118" s="346"/>
      <c r="B118" s="78"/>
      <c r="C118" s="74" t="s">
        <v>259</v>
      </c>
      <c r="D118" s="100">
        <v>9.2499999999999999E-2</v>
      </c>
      <c r="E118" s="106">
        <f>ROUND((($D$134+$E$116+$E$122)*$D$118)/(1-$D$117),2)</f>
        <v>413.74</v>
      </c>
      <c r="F118" s="100">
        <v>9.2499999999999999E-2</v>
      </c>
      <c r="G118" s="120">
        <f>ROUND((($F$134+$G$116+$G$122)*$F$118)/(1-$F$117),2)</f>
        <v>423.78</v>
      </c>
    </row>
    <row r="119" spans="1:7" x14ac:dyDescent="0.25">
      <c r="A119" s="346"/>
      <c r="B119" s="78"/>
      <c r="C119" s="74" t="s">
        <v>260</v>
      </c>
      <c r="D119" s="107">
        <v>0.05</v>
      </c>
      <c r="E119" s="106">
        <f>ROUND((($D$134+$E$116+$E$122)*$D$119)/(1-$D$117),2)</f>
        <v>223.64</v>
      </c>
      <c r="F119" s="107">
        <v>0.05</v>
      </c>
      <c r="G119" s="120">
        <f>ROUND((($F$134+$G$116+$G$122)*$F$119)/(1-$D$117),2)</f>
        <v>229.07</v>
      </c>
    </row>
    <row r="120" spans="1:7" x14ac:dyDescent="0.25">
      <c r="A120" s="346"/>
      <c r="B120" s="78"/>
      <c r="C120" s="74" t="s">
        <v>261</v>
      </c>
      <c r="D120" s="95"/>
      <c r="E120" s="106"/>
      <c r="F120" s="95"/>
      <c r="G120" s="106"/>
    </row>
    <row r="121" spans="1:7" x14ac:dyDescent="0.25">
      <c r="A121" s="346"/>
      <c r="B121" s="78"/>
      <c r="C121" s="74" t="s">
        <v>262</v>
      </c>
      <c r="D121" s="95"/>
      <c r="E121" s="106"/>
      <c r="F121" s="95"/>
      <c r="G121" s="106"/>
    </row>
    <row r="122" spans="1:7" x14ac:dyDescent="0.25">
      <c r="A122" s="346"/>
      <c r="B122" s="78" t="s">
        <v>11</v>
      </c>
      <c r="C122" s="74" t="s">
        <v>263</v>
      </c>
      <c r="D122" s="108">
        <v>2.8899999999999999E-2</v>
      </c>
      <c r="E122" s="106">
        <f>SUM(E116+D110+D51+D43+D33)*D122</f>
        <v>107.73132564536208</v>
      </c>
      <c r="F122" s="108">
        <v>2.8899999999999999E-2</v>
      </c>
      <c r="G122" s="106">
        <f>ROUND(SUM(G116+F110+F51+F43+F33)*F122,2)</f>
        <v>110.35</v>
      </c>
    </row>
    <row r="123" spans="1:7" x14ac:dyDescent="0.25">
      <c r="A123" s="346"/>
      <c r="B123" s="330" t="s">
        <v>40</v>
      </c>
      <c r="C123" s="330"/>
      <c r="D123" s="85"/>
      <c r="E123" s="105">
        <f>SUM(E116:E122)</f>
        <v>782.01951902141536</v>
      </c>
      <c r="F123" s="85"/>
      <c r="G123" s="105">
        <f>SUM(G116:G122)</f>
        <v>801</v>
      </c>
    </row>
    <row r="124" spans="1:7" x14ac:dyDescent="0.25">
      <c r="A124" s="346"/>
      <c r="B124" s="323" t="s">
        <v>248</v>
      </c>
      <c r="C124" s="323"/>
      <c r="D124" s="87"/>
      <c r="E124" s="87"/>
      <c r="F124" s="87"/>
      <c r="G124" s="87"/>
    </row>
    <row r="125" spans="1:7" x14ac:dyDescent="0.25">
      <c r="A125" s="346"/>
      <c r="B125" s="323" t="s">
        <v>249</v>
      </c>
      <c r="C125" s="323"/>
      <c r="D125" s="87"/>
      <c r="E125" s="87"/>
      <c r="F125" s="87"/>
      <c r="G125" s="87"/>
    </row>
    <row r="126" spans="1:7" x14ac:dyDescent="0.25">
      <c r="A126" s="346"/>
      <c r="B126" s="322" t="s">
        <v>95</v>
      </c>
      <c r="C126" s="322"/>
      <c r="D126" s="109" t="s">
        <v>239</v>
      </c>
      <c r="E126" s="109">
        <f>1-0.1425</f>
        <v>0.85750000000000004</v>
      </c>
      <c r="F126" s="109" t="s">
        <v>239</v>
      </c>
      <c r="G126" s="109">
        <f>1-0.1425</f>
        <v>0.85750000000000004</v>
      </c>
    </row>
    <row r="127" spans="1:7" x14ac:dyDescent="0.25">
      <c r="A127" s="346"/>
      <c r="B127" s="311" t="s">
        <v>68</v>
      </c>
      <c r="C127" s="311"/>
      <c r="D127" s="87"/>
      <c r="E127" s="87"/>
      <c r="F127" s="87"/>
      <c r="G127" s="87"/>
    </row>
    <row r="128" spans="1:7" x14ac:dyDescent="0.25">
      <c r="A128" s="346"/>
      <c r="B128" s="311"/>
      <c r="C128" s="311"/>
      <c r="D128" s="73"/>
      <c r="E128" s="73"/>
      <c r="F128" s="73"/>
      <c r="G128" s="73"/>
    </row>
    <row r="129" spans="1:7" x14ac:dyDescent="0.25">
      <c r="A129" s="346"/>
      <c r="B129" s="312" t="s">
        <v>69</v>
      </c>
      <c r="C129" s="312"/>
      <c r="D129" s="312" t="s">
        <v>70</v>
      </c>
      <c r="E129" s="312"/>
      <c r="F129" s="312" t="s">
        <v>70</v>
      </c>
      <c r="G129" s="312"/>
    </row>
    <row r="130" spans="1:7" x14ac:dyDescent="0.25">
      <c r="A130" s="346"/>
      <c r="B130" s="78" t="s">
        <v>7</v>
      </c>
      <c r="C130" s="74" t="s">
        <v>254</v>
      </c>
      <c r="D130" s="315">
        <f>D33</f>
        <v>1655.52</v>
      </c>
      <c r="E130" s="316"/>
      <c r="F130" s="315">
        <f>F33</f>
        <v>1706.84</v>
      </c>
      <c r="G130" s="316"/>
    </row>
    <row r="131" spans="1:7" x14ac:dyDescent="0.25">
      <c r="A131" s="346"/>
      <c r="B131" s="78" t="s">
        <v>9</v>
      </c>
      <c r="C131" s="74" t="s">
        <v>255</v>
      </c>
      <c r="D131" s="315">
        <f>D43</f>
        <v>726.26055000000008</v>
      </c>
      <c r="E131" s="316"/>
      <c r="F131" s="315">
        <f>F43</f>
        <v>769.55435</v>
      </c>
      <c r="G131" s="316"/>
    </row>
    <row r="132" spans="1:7" x14ac:dyDescent="0.25">
      <c r="A132" s="346"/>
      <c r="B132" s="78" t="s">
        <v>11</v>
      </c>
      <c r="C132" s="74" t="s">
        <v>256</v>
      </c>
      <c r="D132" s="315">
        <f>D51</f>
        <v>105.93333333333334</v>
      </c>
      <c r="E132" s="316"/>
      <c r="F132" s="315">
        <f>F51</f>
        <v>105.93333333333334</v>
      </c>
      <c r="G132" s="316"/>
    </row>
    <row r="133" spans="1:7" x14ac:dyDescent="0.25">
      <c r="A133" s="346"/>
      <c r="B133" s="78" t="s">
        <v>13</v>
      </c>
      <c r="C133" s="74" t="s">
        <v>257</v>
      </c>
      <c r="D133" s="315">
        <f>D110</f>
        <v>1203.1054542720001</v>
      </c>
      <c r="E133" s="316"/>
      <c r="F133" s="315">
        <f>F110</f>
        <v>1198.0999999999999</v>
      </c>
      <c r="G133" s="316"/>
    </row>
    <row r="134" spans="1:7" x14ac:dyDescent="0.25">
      <c r="A134" s="346"/>
      <c r="B134" s="317" t="s">
        <v>71</v>
      </c>
      <c r="C134" s="317"/>
      <c r="D134" s="318">
        <f>SUM(D130:D133)</f>
        <v>3690.8193376053332</v>
      </c>
      <c r="E134" s="319"/>
      <c r="F134" s="318">
        <f>ROUND(SUM(F130:F133),2)</f>
        <v>3780.43</v>
      </c>
      <c r="G134" s="319"/>
    </row>
    <row r="135" spans="1:7" x14ac:dyDescent="0.25">
      <c r="A135" s="346"/>
      <c r="B135" s="78" t="s">
        <v>15</v>
      </c>
      <c r="C135" s="74" t="s">
        <v>258</v>
      </c>
      <c r="D135" s="320">
        <f>E123</f>
        <v>782.01951902141536</v>
      </c>
      <c r="E135" s="321"/>
      <c r="F135" s="320">
        <f>G123</f>
        <v>801</v>
      </c>
      <c r="G135" s="321"/>
    </row>
    <row r="136" spans="1:7" x14ac:dyDescent="0.25">
      <c r="A136" s="347"/>
      <c r="B136" s="312" t="s">
        <v>72</v>
      </c>
      <c r="C136" s="312"/>
      <c r="D136" s="313">
        <f>SUM(D134:D135)</f>
        <v>4472.8388566267486</v>
      </c>
      <c r="E136" s="314"/>
      <c r="F136" s="348">
        <f>SUM(F134:F135)</f>
        <v>4581.43</v>
      </c>
      <c r="G136" s="349"/>
    </row>
  </sheetData>
  <mergeCells count="80">
    <mergeCell ref="H85:H86"/>
    <mergeCell ref="A1:C1"/>
    <mergeCell ref="D1:E1"/>
    <mergeCell ref="F1:G1"/>
    <mergeCell ref="A2:A136"/>
    <mergeCell ref="F134:G134"/>
    <mergeCell ref="D135:E135"/>
    <mergeCell ref="F135:G135"/>
    <mergeCell ref="B136:C136"/>
    <mergeCell ref="D136:E136"/>
    <mergeCell ref="F136:G136"/>
    <mergeCell ref="D131:E131"/>
    <mergeCell ref="F131:G131"/>
    <mergeCell ref="D132:E132"/>
    <mergeCell ref="F132:G132"/>
    <mergeCell ref="D133:E133"/>
    <mergeCell ref="F133:G133"/>
    <mergeCell ref="B128:C128"/>
    <mergeCell ref="B129:C129"/>
    <mergeCell ref="D129:E129"/>
    <mergeCell ref="F129:G129"/>
    <mergeCell ref="D130:E130"/>
    <mergeCell ref="F130:G130"/>
    <mergeCell ref="B123:C123"/>
    <mergeCell ref="B124:C124"/>
    <mergeCell ref="B125:C125"/>
    <mergeCell ref="B126:C126"/>
    <mergeCell ref="B127:C127"/>
    <mergeCell ref="B54:C54"/>
    <mergeCell ref="B64:C64"/>
    <mergeCell ref="B65:C65"/>
    <mergeCell ref="B66:C66"/>
    <mergeCell ref="B79:C79"/>
    <mergeCell ref="B53:C53"/>
    <mergeCell ref="F2:G8"/>
    <mergeCell ref="B4:C4"/>
    <mergeCell ref="B7:C7"/>
    <mergeCell ref="B8:C8"/>
    <mergeCell ref="D9:E10"/>
    <mergeCell ref="F9:G10"/>
    <mergeCell ref="B5:C5"/>
    <mergeCell ref="B2:C3"/>
    <mergeCell ref="D2:E8"/>
    <mergeCell ref="D11:E11"/>
    <mergeCell ref="F11:G11"/>
    <mergeCell ref="D12:E12"/>
    <mergeCell ref="F12:G12"/>
    <mergeCell ref="B13:C13"/>
    <mergeCell ref="B114:C114"/>
    <mergeCell ref="B14:C14"/>
    <mergeCell ref="B15:C15"/>
    <mergeCell ref="B16:C16"/>
    <mergeCell ref="B67:C67"/>
    <mergeCell ref="B68:C68"/>
    <mergeCell ref="B17:C17"/>
    <mergeCell ref="B18:C18"/>
    <mergeCell ref="B23:C23"/>
    <mergeCell ref="B33:C33"/>
    <mergeCell ref="B34:C34"/>
    <mergeCell ref="B43:C43"/>
    <mergeCell ref="B44:C44"/>
    <mergeCell ref="B45:C45"/>
    <mergeCell ref="B51:C51"/>
    <mergeCell ref="B52:C52"/>
    <mergeCell ref="H82:H83"/>
    <mergeCell ref="B134:C134"/>
    <mergeCell ref="D134:E134"/>
    <mergeCell ref="B74:C74"/>
    <mergeCell ref="B75:C75"/>
    <mergeCell ref="B100:C100"/>
    <mergeCell ref="B101:C101"/>
    <mergeCell ref="B102:C102"/>
    <mergeCell ref="B80:C80"/>
    <mergeCell ref="B88:C88"/>
    <mergeCell ref="B89:C89"/>
    <mergeCell ref="B99:C99"/>
    <mergeCell ref="B110:C110"/>
    <mergeCell ref="B111:C111"/>
    <mergeCell ref="B112:C112"/>
    <mergeCell ref="B113:C113"/>
  </mergeCells>
  <printOptions horizontalCentered="1"/>
  <pageMargins left="0.6692913385826772" right="0.6692913385826772" top="2.0472440944881889" bottom="1.2598425196850394" header="0.19685039370078741" footer="0.19685039370078741"/>
  <pageSetup paperSize="9" scale="55" orientation="portrait"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36"/>
  <sheetViews>
    <sheetView view="pageBreakPreview" topLeftCell="A79" zoomScaleNormal="100" zoomScaleSheetLayoutView="100" workbookViewId="0">
      <selection activeCell="H82" sqref="H82:H83"/>
    </sheetView>
  </sheetViews>
  <sheetFormatPr defaultRowHeight="15" x14ac:dyDescent="0.25"/>
  <cols>
    <col min="1" max="1" width="6.85546875" customWidth="1"/>
    <col min="2" max="2" width="12.5703125" customWidth="1"/>
    <col min="3" max="3" width="70.5703125" customWidth="1"/>
    <col min="4" max="4" width="13.5703125" customWidth="1"/>
    <col min="5" max="5" width="17.7109375" customWidth="1"/>
    <col min="6" max="6" width="12.42578125" customWidth="1"/>
    <col min="7" max="8" width="16.42578125" customWidth="1"/>
  </cols>
  <sheetData>
    <row r="1" spans="1:7" x14ac:dyDescent="0.25">
      <c r="A1" s="262"/>
      <c r="B1" s="351"/>
      <c r="C1" s="351"/>
      <c r="D1" s="351"/>
      <c r="E1" s="351"/>
      <c r="F1" s="351"/>
      <c r="G1" s="351"/>
    </row>
    <row r="2" spans="1:7" ht="15" customHeight="1" x14ac:dyDescent="0.25">
      <c r="A2" s="262"/>
      <c r="B2" s="329" t="s">
        <v>273</v>
      </c>
      <c r="C2" s="329"/>
      <c r="D2" s="339"/>
      <c r="E2" s="339"/>
      <c r="F2" s="339"/>
      <c r="G2" s="339"/>
    </row>
    <row r="3" spans="1:7" ht="15" customHeight="1" x14ac:dyDescent="0.25">
      <c r="A3" s="262"/>
      <c r="B3" s="329"/>
      <c r="C3" s="329"/>
      <c r="D3" s="339"/>
      <c r="E3" s="339"/>
      <c r="F3" s="339"/>
      <c r="G3" s="339"/>
    </row>
    <row r="4" spans="1:7" x14ac:dyDescent="0.25">
      <c r="A4" s="262"/>
      <c r="B4" s="332"/>
      <c r="C4" s="332"/>
      <c r="D4" s="339"/>
      <c r="E4" s="339"/>
      <c r="F4" s="339"/>
      <c r="G4" s="339"/>
    </row>
    <row r="5" spans="1:7" ht="15" customHeight="1" x14ac:dyDescent="0.25">
      <c r="A5" s="262"/>
      <c r="B5" s="324" t="s">
        <v>113</v>
      </c>
      <c r="C5" s="324"/>
      <c r="D5" s="339"/>
      <c r="E5" s="339"/>
      <c r="F5" s="339"/>
      <c r="G5" s="339"/>
    </row>
    <row r="6" spans="1:7" ht="15" customHeight="1" x14ac:dyDescent="0.25">
      <c r="A6" s="262"/>
      <c r="B6" s="76" t="s">
        <v>73</v>
      </c>
      <c r="C6" s="76" t="s">
        <v>112</v>
      </c>
      <c r="D6" s="339"/>
      <c r="E6" s="339"/>
      <c r="F6" s="339"/>
      <c r="G6" s="339"/>
    </row>
    <row r="7" spans="1:7" x14ac:dyDescent="0.25">
      <c r="A7" s="262"/>
      <c r="B7" s="332"/>
      <c r="C7" s="332"/>
      <c r="D7" s="339"/>
      <c r="E7" s="339"/>
      <c r="F7" s="339"/>
      <c r="G7" s="339"/>
    </row>
    <row r="8" spans="1:7" x14ac:dyDescent="0.25">
      <c r="A8" s="262"/>
      <c r="B8" s="311" t="s">
        <v>74</v>
      </c>
      <c r="C8" s="311"/>
      <c r="D8" s="339"/>
      <c r="E8" s="339"/>
      <c r="F8" s="339"/>
      <c r="G8" s="339"/>
    </row>
    <row r="9" spans="1:7" x14ac:dyDescent="0.25">
      <c r="A9" s="262"/>
      <c r="B9" s="78" t="s">
        <v>7</v>
      </c>
      <c r="C9" s="74" t="s">
        <v>236</v>
      </c>
      <c r="D9" s="333">
        <v>42815</v>
      </c>
      <c r="E9" s="333"/>
      <c r="F9" s="337">
        <v>43192</v>
      </c>
      <c r="G9" s="337"/>
    </row>
    <row r="10" spans="1:7" x14ac:dyDescent="0.25">
      <c r="A10" s="262"/>
      <c r="B10" s="78" t="s">
        <v>9</v>
      </c>
      <c r="C10" s="74" t="s">
        <v>237</v>
      </c>
      <c r="D10" s="333"/>
      <c r="E10" s="333"/>
      <c r="F10" s="337"/>
      <c r="G10" s="337"/>
    </row>
    <row r="11" spans="1:7" ht="15.75" customHeight="1" x14ac:dyDescent="0.25">
      <c r="A11" s="262"/>
      <c r="B11" s="78" t="s">
        <v>11</v>
      </c>
      <c r="C11" s="76" t="s">
        <v>235</v>
      </c>
      <c r="D11" s="329" t="s">
        <v>234</v>
      </c>
      <c r="E11" s="329"/>
      <c r="F11" s="338" t="s">
        <v>276</v>
      </c>
      <c r="G11" s="338"/>
    </row>
    <row r="12" spans="1:7" ht="15.75" customHeight="1" x14ac:dyDescent="0.25">
      <c r="A12" s="262"/>
      <c r="B12" s="78" t="s">
        <v>13</v>
      </c>
      <c r="C12" s="74" t="s">
        <v>75</v>
      </c>
      <c r="D12" s="334" t="s">
        <v>76</v>
      </c>
      <c r="E12" s="334"/>
      <c r="F12" s="334" t="s">
        <v>76</v>
      </c>
      <c r="G12" s="334"/>
    </row>
    <row r="13" spans="1:7" x14ac:dyDescent="0.25">
      <c r="A13" s="262"/>
      <c r="B13" s="332"/>
      <c r="C13" s="332"/>
      <c r="D13" s="83"/>
      <c r="E13" s="73"/>
      <c r="F13" s="83"/>
      <c r="G13" s="73"/>
    </row>
    <row r="14" spans="1:7" x14ac:dyDescent="0.25">
      <c r="A14" s="262"/>
      <c r="B14" s="311" t="s">
        <v>77</v>
      </c>
      <c r="C14" s="311"/>
      <c r="D14" s="87"/>
      <c r="E14" s="73"/>
      <c r="F14" s="87"/>
      <c r="G14" s="73"/>
    </row>
    <row r="15" spans="1:7" ht="45" x14ac:dyDescent="0.25">
      <c r="A15" s="262"/>
      <c r="B15" s="317" t="s">
        <v>78</v>
      </c>
      <c r="C15" s="317"/>
      <c r="D15" s="115" t="s">
        <v>79</v>
      </c>
      <c r="E15" s="115" t="s">
        <v>272</v>
      </c>
      <c r="F15" s="115" t="s">
        <v>79</v>
      </c>
      <c r="G15" s="115" t="s">
        <v>80</v>
      </c>
    </row>
    <row r="16" spans="1:7" ht="15" customHeight="1" x14ac:dyDescent="0.25">
      <c r="A16" s="262"/>
      <c r="B16" s="329" t="s">
        <v>123</v>
      </c>
      <c r="C16" s="329"/>
      <c r="D16" s="116" t="s">
        <v>96</v>
      </c>
      <c r="E16" s="116" t="s">
        <v>97</v>
      </c>
      <c r="F16" s="116" t="s">
        <v>96</v>
      </c>
      <c r="G16" s="116" t="s">
        <v>97</v>
      </c>
    </row>
    <row r="17" spans="1:7" x14ac:dyDescent="0.25">
      <c r="A17" s="262"/>
      <c r="B17" s="325"/>
      <c r="C17" s="325"/>
      <c r="D17" s="84"/>
      <c r="E17" s="84"/>
      <c r="F17" s="84"/>
      <c r="G17" s="84"/>
    </row>
    <row r="18" spans="1:7" ht="15.75" customHeight="1" x14ac:dyDescent="0.25">
      <c r="A18" s="262"/>
      <c r="B18" s="312" t="s">
        <v>0</v>
      </c>
      <c r="C18" s="312"/>
      <c r="D18" s="85"/>
      <c r="E18" s="114"/>
      <c r="F18" s="85"/>
      <c r="G18" s="114"/>
    </row>
    <row r="19" spans="1:7" x14ac:dyDescent="0.25">
      <c r="A19" s="262"/>
      <c r="B19" s="78">
        <v>1</v>
      </c>
      <c r="C19" s="80" t="s">
        <v>1</v>
      </c>
      <c r="D19" s="78" t="str">
        <f>B16</f>
        <v>GARÇONETE</v>
      </c>
      <c r="E19" s="73"/>
      <c r="F19" s="78" t="str">
        <f>B16</f>
        <v>GARÇONETE</v>
      </c>
      <c r="G19" s="73"/>
    </row>
    <row r="20" spans="1:7" ht="21" customHeight="1" x14ac:dyDescent="0.25">
      <c r="A20" s="262"/>
      <c r="B20" s="78">
        <v>2</v>
      </c>
      <c r="C20" s="80" t="s">
        <v>2</v>
      </c>
      <c r="D20" s="86">
        <v>1655.52</v>
      </c>
      <c r="E20" s="73"/>
      <c r="F20" s="142">
        <v>1706.84</v>
      </c>
      <c r="G20" s="73"/>
    </row>
    <row r="21" spans="1:7" x14ac:dyDescent="0.25">
      <c r="A21" s="262"/>
      <c r="B21" s="78">
        <v>3</v>
      </c>
      <c r="C21" s="80" t="s">
        <v>87</v>
      </c>
      <c r="D21" s="78" t="str">
        <f>B16</f>
        <v>GARÇONETE</v>
      </c>
      <c r="E21" s="73"/>
      <c r="F21" s="78" t="str">
        <f>B16</f>
        <v>GARÇONETE</v>
      </c>
      <c r="G21" s="73"/>
    </row>
    <row r="22" spans="1:7" x14ac:dyDescent="0.25">
      <c r="A22" s="262"/>
      <c r="B22" s="78">
        <v>4</v>
      </c>
      <c r="C22" s="80" t="s">
        <v>3</v>
      </c>
      <c r="D22" s="119">
        <v>42736</v>
      </c>
      <c r="E22" s="73"/>
      <c r="F22" s="141">
        <v>43101</v>
      </c>
      <c r="G22" s="73"/>
    </row>
    <row r="23" spans="1:7" x14ac:dyDescent="0.25">
      <c r="A23" s="262"/>
      <c r="B23" s="311" t="s">
        <v>4</v>
      </c>
      <c r="C23" s="311"/>
      <c r="D23" s="87"/>
      <c r="E23" s="73"/>
      <c r="F23" s="87"/>
      <c r="G23" s="73"/>
    </row>
    <row r="24" spans="1:7" x14ac:dyDescent="0.25">
      <c r="A24" s="262"/>
      <c r="B24" s="75">
        <v>1</v>
      </c>
      <c r="C24" s="75" t="s">
        <v>5</v>
      </c>
      <c r="D24" s="75" t="s">
        <v>6</v>
      </c>
      <c r="E24" s="73"/>
      <c r="F24" s="75" t="s">
        <v>6</v>
      </c>
      <c r="G24" s="73"/>
    </row>
    <row r="25" spans="1:7" x14ac:dyDescent="0.25">
      <c r="A25" s="262"/>
      <c r="B25" s="78" t="s">
        <v>7</v>
      </c>
      <c r="C25" s="74" t="s">
        <v>8</v>
      </c>
      <c r="D25" s="88">
        <f>D20</f>
        <v>1655.52</v>
      </c>
      <c r="E25" s="73"/>
      <c r="F25" s="88">
        <f>F20</f>
        <v>1706.84</v>
      </c>
      <c r="G25" s="73"/>
    </row>
    <row r="26" spans="1:7" x14ac:dyDescent="0.25">
      <c r="A26" s="262"/>
      <c r="B26" s="78" t="s">
        <v>9</v>
      </c>
      <c r="C26" s="74" t="s">
        <v>10</v>
      </c>
      <c r="D26" s="88"/>
      <c r="E26" s="73"/>
      <c r="F26" s="88"/>
      <c r="G26" s="73"/>
    </row>
    <row r="27" spans="1:7" x14ac:dyDescent="0.25">
      <c r="A27" s="262"/>
      <c r="B27" s="78" t="s">
        <v>11</v>
      </c>
      <c r="C27" s="74" t="s">
        <v>12</v>
      </c>
      <c r="D27" s="88"/>
      <c r="E27" s="73"/>
      <c r="F27" s="88"/>
      <c r="G27" s="73"/>
    </row>
    <row r="28" spans="1:7" x14ac:dyDescent="0.25">
      <c r="A28" s="262"/>
      <c r="B28" s="78" t="s">
        <v>13</v>
      </c>
      <c r="C28" s="74" t="s">
        <v>14</v>
      </c>
      <c r="D28" s="88"/>
      <c r="E28" s="73"/>
      <c r="F28" s="88"/>
      <c r="G28" s="73"/>
    </row>
    <row r="29" spans="1:7" x14ac:dyDescent="0.25">
      <c r="A29" s="262"/>
      <c r="B29" s="78" t="s">
        <v>15</v>
      </c>
      <c r="C29" s="74" t="s">
        <v>16</v>
      </c>
      <c r="D29" s="88"/>
      <c r="E29" s="73"/>
      <c r="F29" s="88"/>
      <c r="G29" s="73"/>
    </row>
    <row r="30" spans="1:7" x14ac:dyDescent="0.25">
      <c r="A30" s="262"/>
      <c r="B30" s="78" t="s">
        <v>17</v>
      </c>
      <c r="C30" s="74" t="s">
        <v>18</v>
      </c>
      <c r="D30" s="88"/>
      <c r="E30" s="73"/>
      <c r="F30" s="88"/>
      <c r="G30" s="73"/>
    </row>
    <row r="31" spans="1:7" x14ac:dyDescent="0.25">
      <c r="A31" s="262"/>
      <c r="B31" s="78" t="s">
        <v>19</v>
      </c>
      <c r="C31" s="74" t="s">
        <v>110</v>
      </c>
      <c r="D31" s="88"/>
      <c r="E31" s="73"/>
      <c r="F31" s="88"/>
      <c r="G31" s="73"/>
    </row>
    <row r="32" spans="1:7" x14ac:dyDescent="0.25">
      <c r="A32" s="262"/>
      <c r="B32" s="78" t="s">
        <v>20</v>
      </c>
      <c r="C32" s="74" t="s">
        <v>21</v>
      </c>
      <c r="D32" s="88"/>
      <c r="E32" s="73"/>
      <c r="F32" s="88"/>
      <c r="G32" s="73"/>
    </row>
    <row r="33" spans="1:7" ht="20.25" customHeight="1" x14ac:dyDescent="0.25">
      <c r="A33" s="262"/>
      <c r="B33" s="312" t="s">
        <v>22</v>
      </c>
      <c r="C33" s="312"/>
      <c r="D33" s="89">
        <f>SUM(D25:D32)</f>
        <v>1655.52</v>
      </c>
      <c r="E33" s="114"/>
      <c r="F33" s="89">
        <f>SUM(F25:F32)</f>
        <v>1706.84</v>
      </c>
      <c r="G33" s="114"/>
    </row>
    <row r="34" spans="1:7" x14ac:dyDescent="0.25">
      <c r="A34" s="262"/>
      <c r="B34" s="311" t="s">
        <v>23</v>
      </c>
      <c r="C34" s="311"/>
      <c r="D34" s="87"/>
      <c r="E34" s="73"/>
      <c r="F34" s="87"/>
      <c r="G34" s="73"/>
    </row>
    <row r="35" spans="1:7" x14ac:dyDescent="0.25">
      <c r="A35" s="262"/>
      <c r="B35" s="75">
        <v>2</v>
      </c>
      <c r="C35" s="75" t="s">
        <v>24</v>
      </c>
      <c r="D35" s="75" t="s">
        <v>6</v>
      </c>
      <c r="E35" s="114"/>
      <c r="F35" s="75" t="s">
        <v>6</v>
      </c>
      <c r="G35" s="114"/>
    </row>
    <row r="36" spans="1:7" x14ac:dyDescent="0.25">
      <c r="A36" s="262"/>
      <c r="B36" s="78" t="s">
        <v>7</v>
      </c>
      <c r="C36" s="82" t="s">
        <v>271</v>
      </c>
      <c r="D36" s="90">
        <f>(5*2*20.7365) - D33*6%</f>
        <v>108.03380000000001</v>
      </c>
      <c r="E36" s="73"/>
      <c r="F36" s="90">
        <f>(5*2*20.7365) - F33*6%</f>
        <v>104.95460000000001</v>
      </c>
      <c r="G36" s="73"/>
    </row>
    <row r="37" spans="1:7" ht="31.5" customHeight="1" x14ac:dyDescent="0.25">
      <c r="A37" s="262"/>
      <c r="B37" s="78" t="s">
        <v>9</v>
      </c>
      <c r="C37" s="74" t="s">
        <v>275</v>
      </c>
      <c r="D37" s="88">
        <f>29.5*20.7365</f>
        <v>611.72675000000004</v>
      </c>
      <c r="E37" s="73"/>
      <c r="F37" s="143">
        <f>31.5*20.7365</f>
        <v>653.19974999999999</v>
      </c>
      <c r="G37" s="73"/>
    </row>
    <row r="38" spans="1:7" x14ac:dyDescent="0.25">
      <c r="A38" s="262"/>
      <c r="B38" s="78" t="s">
        <v>11</v>
      </c>
      <c r="C38" s="74" t="s">
        <v>25</v>
      </c>
      <c r="D38" s="88">
        <v>0</v>
      </c>
      <c r="E38" s="73"/>
      <c r="F38" s="88">
        <v>0</v>
      </c>
      <c r="G38" s="73"/>
    </row>
    <row r="39" spans="1:7" x14ac:dyDescent="0.25">
      <c r="A39" s="262"/>
      <c r="B39" s="78" t="s">
        <v>13</v>
      </c>
      <c r="C39" s="74" t="s">
        <v>81</v>
      </c>
      <c r="D39" s="88"/>
      <c r="E39" s="73"/>
      <c r="F39" s="88"/>
      <c r="G39" s="73"/>
    </row>
    <row r="40" spans="1:7" x14ac:dyDescent="0.25">
      <c r="A40" s="262"/>
      <c r="B40" s="78" t="s">
        <v>15</v>
      </c>
      <c r="C40" s="74" t="s">
        <v>232</v>
      </c>
      <c r="D40" s="117">
        <v>1.5</v>
      </c>
      <c r="E40" s="91" t="s">
        <v>238</v>
      </c>
      <c r="F40" s="117">
        <v>1.5</v>
      </c>
      <c r="G40" s="91"/>
    </row>
    <row r="41" spans="1:7" x14ac:dyDescent="0.25">
      <c r="A41" s="262"/>
      <c r="B41" s="78" t="s">
        <v>17</v>
      </c>
      <c r="C41" s="74" t="s">
        <v>88</v>
      </c>
      <c r="D41" s="92">
        <v>0</v>
      </c>
      <c r="E41" s="73"/>
      <c r="F41" s="92">
        <v>0</v>
      </c>
      <c r="G41" s="73"/>
    </row>
    <row r="42" spans="1:7" s="3" customFormat="1" x14ac:dyDescent="0.25">
      <c r="A42" s="262"/>
      <c r="B42" s="113" t="s">
        <v>19</v>
      </c>
      <c r="C42" s="82" t="s">
        <v>233</v>
      </c>
      <c r="D42" s="92">
        <v>5</v>
      </c>
      <c r="E42" s="93"/>
      <c r="F42" s="143">
        <v>9.9</v>
      </c>
      <c r="G42" s="93"/>
    </row>
    <row r="43" spans="1:7" ht="15" customHeight="1" x14ac:dyDescent="0.25">
      <c r="A43" s="262"/>
      <c r="B43" s="312" t="s">
        <v>26</v>
      </c>
      <c r="C43" s="312"/>
      <c r="D43" s="89">
        <f>SUM(D36:D42)</f>
        <v>726.26055000000008</v>
      </c>
      <c r="E43" s="114"/>
      <c r="F43" s="89">
        <f>SUM(F36:F42)</f>
        <v>769.55435</v>
      </c>
      <c r="G43" s="114"/>
    </row>
    <row r="44" spans="1:7" s="5" customFormat="1" ht="12" customHeight="1" x14ac:dyDescent="0.25">
      <c r="A44" s="262"/>
      <c r="B44" s="331" t="s">
        <v>253</v>
      </c>
      <c r="C44" s="331"/>
      <c r="D44" s="82"/>
      <c r="E44" s="82"/>
      <c r="F44" s="82"/>
      <c r="G44" s="82"/>
    </row>
    <row r="45" spans="1:7" ht="15.75" customHeight="1" x14ac:dyDescent="0.25">
      <c r="A45" s="262"/>
      <c r="B45" s="317" t="s">
        <v>89</v>
      </c>
      <c r="C45" s="317"/>
      <c r="D45" s="76"/>
      <c r="E45" s="73"/>
      <c r="F45" s="76"/>
      <c r="G45" s="73"/>
    </row>
    <row r="46" spans="1:7" x14ac:dyDescent="0.25">
      <c r="A46" s="262"/>
      <c r="B46" s="75">
        <v>3</v>
      </c>
      <c r="C46" s="75" t="s">
        <v>27</v>
      </c>
      <c r="D46" s="75" t="s">
        <v>6</v>
      </c>
      <c r="E46" s="114"/>
      <c r="F46" s="75" t="s">
        <v>6</v>
      </c>
      <c r="G46" s="114"/>
    </row>
    <row r="47" spans="1:7" x14ac:dyDescent="0.25">
      <c r="A47" s="262"/>
      <c r="B47" s="78" t="s">
        <v>7</v>
      </c>
      <c r="C47" s="74" t="s">
        <v>231</v>
      </c>
      <c r="D47" s="88">
        <f>UNIFORMES!G19</f>
        <v>95.966666666666654</v>
      </c>
      <c r="E47" s="73"/>
      <c r="F47" s="88">
        <f>UNIFORMES!G19</f>
        <v>95.966666666666654</v>
      </c>
      <c r="G47" s="73"/>
    </row>
    <row r="48" spans="1:7" x14ac:dyDescent="0.25">
      <c r="A48" s="262"/>
      <c r="B48" s="78" t="s">
        <v>9</v>
      </c>
      <c r="C48" s="74" t="s">
        <v>107</v>
      </c>
      <c r="D48" s="88">
        <v>0</v>
      </c>
      <c r="E48" s="94"/>
      <c r="F48" s="88">
        <v>0</v>
      </c>
      <c r="G48" s="94"/>
    </row>
    <row r="49" spans="1:8" s="3" customFormat="1" x14ac:dyDescent="0.25">
      <c r="A49" s="262"/>
      <c r="B49" s="113" t="s">
        <v>11</v>
      </c>
      <c r="C49" s="82" t="s">
        <v>108</v>
      </c>
      <c r="D49" s="92">
        <v>0</v>
      </c>
      <c r="E49" s="93"/>
      <c r="F49" s="92">
        <v>0</v>
      </c>
      <c r="G49" s="93"/>
    </row>
    <row r="50" spans="1:8" s="3" customFormat="1" ht="38.25" customHeight="1" x14ac:dyDescent="0.25">
      <c r="A50" s="262"/>
      <c r="B50" s="113" t="s">
        <v>13</v>
      </c>
      <c r="C50" s="82" t="s">
        <v>136</v>
      </c>
      <c r="D50" s="92">
        <f>TREINAMENTO!G14</f>
        <v>9.9499999999999993</v>
      </c>
      <c r="E50" s="93"/>
      <c r="F50" s="92">
        <f>TREINAMENTO!G14</f>
        <v>9.9499999999999993</v>
      </c>
      <c r="G50" s="93"/>
    </row>
    <row r="51" spans="1:8" ht="15.75" customHeight="1" x14ac:dyDescent="0.25">
      <c r="A51" s="262"/>
      <c r="B51" s="312" t="s">
        <v>28</v>
      </c>
      <c r="C51" s="312"/>
      <c r="D51" s="89">
        <f>SUM(D47:D50)</f>
        <v>105.91666666666666</v>
      </c>
      <c r="E51" s="114"/>
      <c r="F51" s="89">
        <f>SUM(F47:F50)</f>
        <v>105.91666666666666</v>
      </c>
      <c r="G51" s="114"/>
    </row>
    <row r="52" spans="1:8" s="5" customFormat="1" ht="15" customHeight="1" x14ac:dyDescent="0.25">
      <c r="A52" s="262"/>
      <c r="B52" s="326" t="s">
        <v>247</v>
      </c>
      <c r="C52" s="326"/>
      <c r="D52" s="82"/>
      <c r="E52" s="82"/>
      <c r="F52" s="82"/>
      <c r="G52" s="82"/>
    </row>
    <row r="53" spans="1:8" x14ac:dyDescent="0.25">
      <c r="A53" s="262"/>
      <c r="B53" s="327" t="s">
        <v>29</v>
      </c>
      <c r="C53" s="327"/>
      <c r="D53" s="87"/>
      <c r="E53" s="87"/>
      <c r="F53" s="87"/>
      <c r="G53" s="87"/>
    </row>
    <row r="54" spans="1:8" x14ac:dyDescent="0.25">
      <c r="A54" s="262"/>
      <c r="B54" s="328" t="s">
        <v>82</v>
      </c>
      <c r="C54" s="328"/>
      <c r="D54" s="87"/>
      <c r="E54" s="87"/>
      <c r="F54" s="87"/>
      <c r="G54" s="87"/>
    </row>
    <row r="55" spans="1:8" x14ac:dyDescent="0.25">
      <c r="A55" s="262"/>
      <c r="B55" s="75" t="s">
        <v>30</v>
      </c>
      <c r="C55" s="75" t="s">
        <v>31</v>
      </c>
      <c r="D55" s="75" t="s">
        <v>32</v>
      </c>
      <c r="E55" s="75" t="s">
        <v>6</v>
      </c>
      <c r="F55" s="75" t="s">
        <v>32</v>
      </c>
      <c r="G55" s="75" t="s">
        <v>6</v>
      </c>
    </row>
    <row r="56" spans="1:8" x14ac:dyDescent="0.25">
      <c r="A56" s="262"/>
      <c r="B56" s="78" t="s">
        <v>7</v>
      </c>
      <c r="C56" s="74" t="s">
        <v>33</v>
      </c>
      <c r="D56" s="95">
        <v>0.2</v>
      </c>
      <c r="E56" s="88">
        <f>D56*$D$33</f>
        <v>331.10400000000004</v>
      </c>
      <c r="F56" s="95">
        <v>0.2</v>
      </c>
      <c r="G56" s="88">
        <f>ROUND(F56*$F$33,2)</f>
        <v>341.37</v>
      </c>
      <c r="H56" s="238"/>
    </row>
    <row r="57" spans="1:8" x14ac:dyDescent="0.25">
      <c r="A57" s="262"/>
      <c r="B57" s="78" t="s">
        <v>9</v>
      </c>
      <c r="C57" s="74" t="s">
        <v>34</v>
      </c>
      <c r="D57" s="95">
        <v>1.4999999999999999E-2</v>
      </c>
      <c r="E57" s="88">
        <f t="shared" ref="E57:E63" si="0">D57*$D$33</f>
        <v>24.832799999999999</v>
      </c>
      <c r="F57" s="95">
        <v>1.4999999999999999E-2</v>
      </c>
      <c r="G57" s="88">
        <f t="shared" ref="G57:G63" si="1">ROUND(F57*$F$33,2)</f>
        <v>25.6</v>
      </c>
      <c r="H57" s="238"/>
    </row>
    <row r="58" spans="1:8" x14ac:dyDescent="0.25">
      <c r="A58" s="262"/>
      <c r="B58" s="78" t="s">
        <v>11</v>
      </c>
      <c r="C58" s="74" t="s">
        <v>35</v>
      </c>
      <c r="D58" s="95">
        <v>0.01</v>
      </c>
      <c r="E58" s="88">
        <f t="shared" si="0"/>
        <v>16.555199999999999</v>
      </c>
      <c r="F58" s="95">
        <v>0.01</v>
      </c>
      <c r="G58" s="88">
        <f t="shared" si="1"/>
        <v>17.07</v>
      </c>
      <c r="H58" s="238"/>
    </row>
    <row r="59" spans="1:8" x14ac:dyDescent="0.25">
      <c r="A59" s="262"/>
      <c r="B59" s="78" t="s">
        <v>13</v>
      </c>
      <c r="C59" s="74" t="s">
        <v>36</v>
      </c>
      <c r="D59" s="95">
        <v>2E-3</v>
      </c>
      <c r="E59" s="88">
        <f t="shared" si="0"/>
        <v>3.3110400000000002</v>
      </c>
      <c r="F59" s="95">
        <v>2E-3</v>
      </c>
      <c r="G59" s="88">
        <f t="shared" si="1"/>
        <v>3.41</v>
      </c>
    </row>
    <row r="60" spans="1:8" x14ac:dyDescent="0.25">
      <c r="A60" s="262"/>
      <c r="B60" s="78" t="s">
        <v>15</v>
      </c>
      <c r="C60" s="111" t="s">
        <v>37</v>
      </c>
      <c r="D60" s="95">
        <v>2.5000000000000001E-2</v>
      </c>
      <c r="E60" s="88">
        <f t="shared" si="0"/>
        <v>41.388000000000005</v>
      </c>
      <c r="F60" s="95">
        <v>2.5000000000000001E-2</v>
      </c>
      <c r="G60" s="88">
        <f t="shared" si="1"/>
        <v>42.67</v>
      </c>
      <c r="H60" s="238"/>
    </row>
    <row r="61" spans="1:8" x14ac:dyDescent="0.25">
      <c r="A61" s="262"/>
      <c r="B61" s="78" t="s">
        <v>17</v>
      </c>
      <c r="C61" s="74" t="s">
        <v>38</v>
      </c>
      <c r="D61" s="95">
        <v>0.08</v>
      </c>
      <c r="E61" s="88">
        <f t="shared" si="0"/>
        <v>132.44159999999999</v>
      </c>
      <c r="F61" s="95">
        <v>0.08</v>
      </c>
      <c r="G61" s="88">
        <f t="shared" si="1"/>
        <v>136.55000000000001</v>
      </c>
    </row>
    <row r="62" spans="1:8" x14ac:dyDescent="0.25">
      <c r="A62" s="262"/>
      <c r="B62" s="78" t="s">
        <v>19</v>
      </c>
      <c r="C62" s="74" t="s">
        <v>90</v>
      </c>
      <c r="D62" s="95">
        <v>1.66E-2</v>
      </c>
      <c r="E62" s="88">
        <f t="shared" si="0"/>
        <v>27.481632000000001</v>
      </c>
      <c r="F62" s="140">
        <v>1.9800000000000002E-2</v>
      </c>
      <c r="G62" s="88">
        <f t="shared" si="1"/>
        <v>33.799999999999997</v>
      </c>
      <c r="H62" s="238"/>
    </row>
    <row r="63" spans="1:8" x14ac:dyDescent="0.25">
      <c r="A63" s="262"/>
      <c r="B63" s="78" t="s">
        <v>20</v>
      </c>
      <c r="C63" s="74" t="s">
        <v>39</v>
      </c>
      <c r="D63" s="95">
        <v>6.0000000000000001E-3</v>
      </c>
      <c r="E63" s="88">
        <f t="shared" si="0"/>
        <v>9.9331200000000006</v>
      </c>
      <c r="F63" s="95">
        <v>6.0000000000000001E-3</v>
      </c>
      <c r="G63" s="88">
        <f t="shared" si="1"/>
        <v>10.24</v>
      </c>
    </row>
    <row r="64" spans="1:8" x14ac:dyDescent="0.25">
      <c r="A64" s="262"/>
      <c r="B64" s="312" t="s">
        <v>40</v>
      </c>
      <c r="C64" s="312"/>
      <c r="D64" s="96">
        <f>SUM(D56:D63)</f>
        <v>0.35460000000000008</v>
      </c>
      <c r="E64" s="97">
        <f>SUM(E56:E63)</f>
        <v>587.04739200000006</v>
      </c>
      <c r="F64" s="96">
        <f>SUM(F56:F63)</f>
        <v>0.35780000000000006</v>
      </c>
      <c r="G64" s="97">
        <f>SUM(G56:G63)</f>
        <v>610.71</v>
      </c>
    </row>
    <row r="65" spans="1:8" s="5" customFormat="1" ht="15" customHeight="1" x14ac:dyDescent="0.25">
      <c r="A65" s="262"/>
      <c r="B65" s="331" t="s">
        <v>250</v>
      </c>
      <c r="C65" s="331"/>
      <c r="D65" s="82"/>
      <c r="E65" s="82"/>
      <c r="F65" s="82"/>
      <c r="G65" s="82"/>
    </row>
    <row r="66" spans="1:8" s="5" customFormat="1" ht="15" customHeight="1" x14ac:dyDescent="0.25">
      <c r="A66" s="262"/>
      <c r="B66" s="331" t="s">
        <v>251</v>
      </c>
      <c r="C66" s="331"/>
      <c r="D66" s="82"/>
      <c r="E66" s="82"/>
      <c r="F66" s="82"/>
      <c r="G66" s="82"/>
    </row>
    <row r="67" spans="1:8" s="5" customFormat="1" ht="15" customHeight="1" x14ac:dyDescent="0.25">
      <c r="A67" s="262"/>
      <c r="B67" s="331" t="s">
        <v>252</v>
      </c>
      <c r="C67" s="331"/>
      <c r="D67" s="82"/>
      <c r="E67" s="82"/>
      <c r="F67" s="82"/>
      <c r="G67" s="82"/>
    </row>
    <row r="68" spans="1:8" x14ac:dyDescent="0.25">
      <c r="A68" s="262"/>
      <c r="B68" s="328" t="s">
        <v>83</v>
      </c>
      <c r="C68" s="328"/>
      <c r="D68" s="98"/>
      <c r="E68" s="98"/>
      <c r="F68" s="98"/>
      <c r="G68" s="98"/>
    </row>
    <row r="69" spans="1:8" x14ac:dyDescent="0.25">
      <c r="A69" s="262"/>
      <c r="B69" s="75" t="s">
        <v>41</v>
      </c>
      <c r="C69" s="75" t="s">
        <v>91</v>
      </c>
      <c r="D69" s="75" t="s">
        <v>32</v>
      </c>
      <c r="E69" s="75" t="s">
        <v>6</v>
      </c>
      <c r="F69" s="75" t="s">
        <v>32</v>
      </c>
      <c r="G69" s="75" t="s">
        <v>6</v>
      </c>
    </row>
    <row r="70" spans="1:8" x14ac:dyDescent="0.25">
      <c r="A70" s="262"/>
      <c r="B70" s="78" t="s">
        <v>7</v>
      </c>
      <c r="C70" s="74" t="s">
        <v>42</v>
      </c>
      <c r="D70" s="99">
        <v>8.3299999999999999E-2</v>
      </c>
      <c r="E70" s="88">
        <f>D70*$D$33</f>
        <v>137.90481600000001</v>
      </c>
      <c r="F70" s="99">
        <v>8.3299999999999999E-2</v>
      </c>
      <c r="G70" s="88">
        <f t="shared" ref="G70:G71" si="2">ROUND(F70*$F$33,2)</f>
        <v>142.18</v>
      </c>
      <c r="H70" s="238"/>
    </row>
    <row r="71" spans="1:8" x14ac:dyDescent="0.25">
      <c r="A71" s="262"/>
      <c r="B71" s="78" t="s">
        <v>9</v>
      </c>
      <c r="C71" s="74" t="s">
        <v>92</v>
      </c>
      <c r="D71" s="99">
        <v>2.7799999999999998E-2</v>
      </c>
      <c r="E71" s="88">
        <f>D71*$D$33</f>
        <v>46.023455999999996</v>
      </c>
      <c r="F71" s="99">
        <v>2.7799999999999998E-2</v>
      </c>
      <c r="G71" s="88">
        <f t="shared" si="2"/>
        <v>47.45</v>
      </c>
      <c r="H71" s="238"/>
    </row>
    <row r="72" spans="1:8" x14ac:dyDescent="0.25">
      <c r="A72" s="262"/>
      <c r="B72" s="78"/>
      <c r="C72" s="78" t="s">
        <v>43</v>
      </c>
      <c r="D72" s="100">
        <f>SUM(D70:D71)</f>
        <v>0.1111</v>
      </c>
      <c r="E72" s="101">
        <f>SUM(E70:E71)</f>
        <v>183.92827199999999</v>
      </c>
      <c r="F72" s="100">
        <f>SUM(F70:F71)</f>
        <v>0.1111</v>
      </c>
      <c r="G72" s="101">
        <f>ROUND(SUM(G70:G71),2)</f>
        <v>189.63</v>
      </c>
    </row>
    <row r="73" spans="1:8" x14ac:dyDescent="0.25">
      <c r="A73" s="262"/>
      <c r="B73" s="78" t="s">
        <v>9</v>
      </c>
      <c r="C73" s="74" t="s">
        <v>267</v>
      </c>
      <c r="D73" s="95">
        <f>D64*D72</f>
        <v>3.9396060000000011E-2</v>
      </c>
      <c r="E73" s="88">
        <f>D73*$D$33</f>
        <v>65.220965251200013</v>
      </c>
      <c r="F73" s="95">
        <f>F64*F72</f>
        <v>3.9751580000000009E-2</v>
      </c>
      <c r="G73" s="88">
        <f>ROUND(F73*$F$33,2)</f>
        <v>67.849999999999994</v>
      </c>
    </row>
    <row r="74" spans="1:8" x14ac:dyDescent="0.25">
      <c r="A74" s="262"/>
      <c r="B74" s="353" t="s">
        <v>40</v>
      </c>
      <c r="C74" s="353"/>
      <c r="D74" s="128">
        <f>SUM(D73,D72)</f>
        <v>0.15049606000000001</v>
      </c>
      <c r="E74" s="129">
        <f>SUM(E73,E72)</f>
        <v>249.14923725120002</v>
      </c>
      <c r="F74" s="128">
        <f>SUM(F73,F72)</f>
        <v>0.15085158000000001</v>
      </c>
      <c r="G74" s="129">
        <f>SUM(G73,G72)</f>
        <v>257.48</v>
      </c>
    </row>
    <row r="75" spans="1:8" x14ac:dyDescent="0.25">
      <c r="A75" s="262"/>
      <c r="B75" s="336" t="s">
        <v>44</v>
      </c>
      <c r="C75" s="336"/>
      <c r="D75" s="336"/>
      <c r="E75" s="336"/>
      <c r="F75" s="73"/>
      <c r="G75" s="73"/>
    </row>
    <row r="76" spans="1:8" x14ac:dyDescent="0.25">
      <c r="A76" s="262"/>
      <c r="B76" s="130" t="s">
        <v>45</v>
      </c>
      <c r="C76" s="130" t="s">
        <v>46</v>
      </c>
      <c r="D76" s="130" t="s">
        <v>32</v>
      </c>
      <c r="E76" s="130" t="s">
        <v>6</v>
      </c>
      <c r="F76" s="130" t="s">
        <v>32</v>
      </c>
      <c r="G76" s="130" t="s">
        <v>6</v>
      </c>
    </row>
    <row r="77" spans="1:8" x14ac:dyDescent="0.25">
      <c r="A77" s="262"/>
      <c r="B77" s="131" t="s">
        <v>7</v>
      </c>
      <c r="C77" s="132" t="s">
        <v>111</v>
      </c>
      <c r="D77" s="133">
        <v>7.3999999999999999E-4</v>
      </c>
      <c r="E77" s="134">
        <f>D77*$D$33</f>
        <v>1.2250847999999999</v>
      </c>
      <c r="F77" s="133">
        <v>7.3999999999999999E-4</v>
      </c>
      <c r="G77" s="88">
        <f t="shared" ref="G77" si="3">ROUND(F77*$F$33,2)</f>
        <v>1.26</v>
      </c>
      <c r="H77" s="238"/>
    </row>
    <row r="78" spans="1:8" x14ac:dyDescent="0.25">
      <c r="A78" s="262"/>
      <c r="B78" s="131" t="s">
        <v>9</v>
      </c>
      <c r="C78" s="132" t="s">
        <v>274</v>
      </c>
      <c r="D78" s="135">
        <f>D64*D77</f>
        <v>2.6240400000000004E-4</v>
      </c>
      <c r="E78" s="136">
        <f>D78*$D$33</f>
        <v>0.43441507008000008</v>
      </c>
      <c r="F78" s="135">
        <f>F64*F77</f>
        <v>2.6477200000000003E-4</v>
      </c>
      <c r="G78" s="136">
        <f>ROUND(F78*$F$33,2)</f>
        <v>0.45</v>
      </c>
    </row>
    <row r="79" spans="1:8" x14ac:dyDescent="0.25">
      <c r="A79" s="262"/>
      <c r="B79" s="352" t="s">
        <v>40</v>
      </c>
      <c r="C79" s="352"/>
      <c r="D79" s="138">
        <f>SUM(D78,D77)</f>
        <v>1.0024040000000001E-3</v>
      </c>
      <c r="E79" s="139">
        <f>SUM(E78,E77)</f>
        <v>1.6594998700799999</v>
      </c>
      <c r="F79" s="138">
        <f>SUM(F78,F77)</f>
        <v>1.0047720000000001E-3</v>
      </c>
      <c r="G79" s="139">
        <f>SUM(G78,G77)</f>
        <v>1.71</v>
      </c>
    </row>
    <row r="80" spans="1:8" x14ac:dyDescent="0.25">
      <c r="A80" s="262"/>
      <c r="B80" s="336" t="s">
        <v>86</v>
      </c>
      <c r="C80" s="336"/>
      <c r="D80" s="87"/>
      <c r="E80" s="87"/>
      <c r="F80" s="87"/>
      <c r="G80" s="87"/>
    </row>
    <row r="81" spans="1:8" x14ac:dyDescent="0.25">
      <c r="A81" s="262"/>
      <c r="B81" s="75" t="s">
        <v>47</v>
      </c>
      <c r="C81" s="75" t="s">
        <v>48</v>
      </c>
      <c r="D81" s="75" t="s">
        <v>32</v>
      </c>
      <c r="E81" s="75" t="s">
        <v>6</v>
      </c>
      <c r="F81" s="75" t="s">
        <v>32</v>
      </c>
      <c r="G81" s="75" t="s">
        <v>6</v>
      </c>
    </row>
    <row r="82" spans="1:8" x14ac:dyDescent="0.25">
      <c r="A82" s="262"/>
      <c r="B82" s="78" t="s">
        <v>7</v>
      </c>
      <c r="C82" s="74" t="s">
        <v>49</v>
      </c>
      <c r="D82" s="240">
        <v>4.1999999999999997E-3</v>
      </c>
      <c r="E82" s="88">
        <f>D82*$D$33</f>
        <v>6.9531839999999994</v>
      </c>
      <c r="F82" s="245">
        <f>0.1*D82</f>
        <v>4.2000000000000002E-4</v>
      </c>
      <c r="G82" s="246">
        <f>ROUND(F82*$F$33,2)</f>
        <v>0.72</v>
      </c>
      <c r="H82" s="310" t="s">
        <v>372</v>
      </c>
    </row>
    <row r="83" spans="1:8" x14ac:dyDescent="0.25">
      <c r="A83" s="262"/>
      <c r="B83" s="78" t="s">
        <v>9</v>
      </c>
      <c r="C83" s="74" t="s">
        <v>269</v>
      </c>
      <c r="D83" s="240">
        <f>D64*D82</f>
        <v>1.4893200000000004E-3</v>
      </c>
      <c r="E83" s="88">
        <f t="shared" ref="E83:E87" si="4">D83*$D$33</f>
        <v>2.4655990464000004</v>
      </c>
      <c r="F83" s="245">
        <f>F64*F82</f>
        <v>1.5027600000000002E-4</v>
      </c>
      <c r="G83" s="246">
        <f>ROUND(F83*$F$33,2)</f>
        <v>0.26</v>
      </c>
      <c r="H83" s="310"/>
    </row>
    <row r="84" spans="1:8" ht="24" customHeight="1" x14ac:dyDescent="0.25">
      <c r="A84" s="262"/>
      <c r="B84" s="78" t="s">
        <v>11</v>
      </c>
      <c r="C84" s="74" t="s">
        <v>84</v>
      </c>
      <c r="D84" s="240">
        <v>2.0999999999999999E-3</v>
      </c>
      <c r="E84" s="88">
        <f t="shared" si="4"/>
        <v>3.4765919999999997</v>
      </c>
      <c r="F84" s="240">
        <v>2.0999999999999999E-3</v>
      </c>
      <c r="G84" s="88">
        <f t="shared" ref="G84" si="5">ROUND(F84*$F$33,2)</f>
        <v>3.58</v>
      </c>
    </row>
    <row r="85" spans="1:8" x14ac:dyDescent="0.25">
      <c r="A85" s="262"/>
      <c r="B85" s="78" t="s">
        <v>13</v>
      </c>
      <c r="C85" s="74" t="s">
        <v>50</v>
      </c>
      <c r="D85" s="99">
        <v>1.9400000000000001E-2</v>
      </c>
      <c r="E85" s="88">
        <f t="shared" si="4"/>
        <v>32.117088000000003</v>
      </c>
      <c r="F85" s="245">
        <f>0.1*D85</f>
        <v>1.9400000000000001E-3</v>
      </c>
      <c r="G85" s="246">
        <f>ROUND(F85*$F$33,2)</f>
        <v>3.31</v>
      </c>
      <c r="H85" s="310" t="s">
        <v>372</v>
      </c>
    </row>
    <row r="86" spans="1:8" x14ac:dyDescent="0.25">
      <c r="A86" s="262"/>
      <c r="B86" s="78" t="s">
        <v>15</v>
      </c>
      <c r="C86" s="74" t="s">
        <v>270</v>
      </c>
      <c r="D86" s="95">
        <f>D64*D85</f>
        <v>6.8792400000000017E-3</v>
      </c>
      <c r="E86" s="88">
        <f t="shared" si="4"/>
        <v>11.388719404800003</v>
      </c>
      <c r="F86" s="245">
        <f>F64*F85</f>
        <v>6.9413200000000019E-4</v>
      </c>
      <c r="G86" s="246">
        <f>ROUND(F86*$F$33,2)</f>
        <v>1.18</v>
      </c>
      <c r="H86" s="310"/>
    </row>
    <row r="87" spans="1:8" x14ac:dyDescent="0.25">
      <c r="A87" s="262"/>
      <c r="B87" s="78" t="s">
        <v>17</v>
      </c>
      <c r="C87" s="80" t="s">
        <v>85</v>
      </c>
      <c r="D87" s="95">
        <v>9.7000000000000003E-3</v>
      </c>
      <c r="E87" s="88">
        <f t="shared" si="4"/>
        <v>16.058544000000001</v>
      </c>
      <c r="F87" s="95">
        <v>9.7000000000000003E-3</v>
      </c>
      <c r="G87" s="88">
        <f>ROUND(F87*$F$33,2)</f>
        <v>16.559999999999999</v>
      </c>
    </row>
    <row r="88" spans="1:8" x14ac:dyDescent="0.25">
      <c r="A88" s="262"/>
      <c r="B88" s="312" t="s">
        <v>51</v>
      </c>
      <c r="C88" s="312"/>
      <c r="D88" s="96">
        <f>SUM(D82:D87)</f>
        <v>4.3768560000000005E-2</v>
      </c>
      <c r="E88" s="89">
        <f>SUM(E82:E87)</f>
        <v>72.459726451199998</v>
      </c>
      <c r="F88" s="96">
        <f>SUM(F82:F87)</f>
        <v>1.5004408E-2</v>
      </c>
      <c r="G88" s="89">
        <f>SUM(G82:G87)</f>
        <v>25.61</v>
      </c>
    </row>
    <row r="89" spans="1:8" x14ac:dyDescent="0.25">
      <c r="A89" s="262"/>
      <c r="B89" s="336" t="s">
        <v>52</v>
      </c>
      <c r="C89" s="336"/>
      <c r="D89" s="87"/>
      <c r="E89" s="87"/>
      <c r="F89" s="87"/>
      <c r="G89" s="87"/>
    </row>
    <row r="90" spans="1:8" ht="24" customHeight="1" x14ac:dyDescent="0.25">
      <c r="A90" s="262"/>
      <c r="B90" s="75" t="s">
        <v>53</v>
      </c>
      <c r="C90" s="75" t="s">
        <v>54</v>
      </c>
      <c r="D90" s="75" t="s">
        <v>32</v>
      </c>
      <c r="E90" s="75" t="s">
        <v>6</v>
      </c>
      <c r="F90" s="75" t="s">
        <v>32</v>
      </c>
      <c r="G90" s="75" t="s">
        <v>6</v>
      </c>
    </row>
    <row r="91" spans="1:8" x14ac:dyDescent="0.25">
      <c r="A91" s="262"/>
      <c r="B91" s="78" t="s">
        <v>7</v>
      </c>
      <c r="C91" s="74" t="s">
        <v>229</v>
      </c>
      <c r="D91" s="240">
        <v>0.1111</v>
      </c>
      <c r="E91" s="88">
        <f>D91*$D$33</f>
        <v>183.92827199999999</v>
      </c>
      <c r="F91" s="240">
        <v>0.1111</v>
      </c>
      <c r="G91" s="88">
        <f>ROUND(F91*$F$33,2)</f>
        <v>189.63</v>
      </c>
      <c r="H91" s="238"/>
    </row>
    <row r="92" spans="1:8" x14ac:dyDescent="0.25">
      <c r="A92" s="262"/>
      <c r="B92" s="78" t="s">
        <v>9</v>
      </c>
      <c r="C92" s="74" t="s">
        <v>55</v>
      </c>
      <c r="D92" s="240">
        <v>1.3899999999999999E-2</v>
      </c>
      <c r="E92" s="88">
        <f t="shared" ref="E92:E95" si="6">D92*$D$33</f>
        <v>23.011727999999998</v>
      </c>
      <c r="F92" s="240">
        <v>1.3899999999999999E-2</v>
      </c>
      <c r="G92" s="88">
        <f t="shared" ref="G92:G95" si="7">ROUND(F92*$F$33,2)</f>
        <v>23.73</v>
      </c>
    </row>
    <row r="93" spans="1:8" x14ac:dyDescent="0.25">
      <c r="A93" s="262"/>
      <c r="B93" s="78" t="s">
        <v>11</v>
      </c>
      <c r="C93" s="74" t="s">
        <v>230</v>
      </c>
      <c r="D93" s="241">
        <v>2.0000000000000001E-4</v>
      </c>
      <c r="E93" s="88">
        <f t="shared" si="6"/>
        <v>0.33110400000000001</v>
      </c>
      <c r="F93" s="241">
        <v>2.0000000000000001E-4</v>
      </c>
      <c r="G93" s="88">
        <f t="shared" si="7"/>
        <v>0.34</v>
      </c>
    </row>
    <row r="94" spans="1:8" x14ac:dyDescent="0.25">
      <c r="A94" s="262"/>
      <c r="B94" s="78" t="s">
        <v>13</v>
      </c>
      <c r="C94" s="74" t="s">
        <v>56</v>
      </c>
      <c r="D94" s="241">
        <v>2.8E-3</v>
      </c>
      <c r="E94" s="88">
        <f t="shared" si="6"/>
        <v>4.6354559999999996</v>
      </c>
      <c r="F94" s="241">
        <v>2.8E-3</v>
      </c>
      <c r="G94" s="88">
        <f t="shared" si="7"/>
        <v>4.78</v>
      </c>
    </row>
    <row r="95" spans="1:8" x14ac:dyDescent="0.25">
      <c r="A95" s="262"/>
      <c r="B95" s="78" t="s">
        <v>15</v>
      </c>
      <c r="C95" s="74" t="s">
        <v>57</v>
      </c>
      <c r="D95" s="240">
        <v>3.3E-3</v>
      </c>
      <c r="E95" s="88">
        <f t="shared" si="6"/>
        <v>5.4632160000000001</v>
      </c>
      <c r="F95" s="240">
        <v>3.3E-3</v>
      </c>
      <c r="G95" s="88">
        <f t="shared" si="7"/>
        <v>5.63</v>
      </c>
    </row>
    <row r="96" spans="1:8" x14ac:dyDescent="0.25">
      <c r="A96" s="262"/>
      <c r="B96" s="78" t="s">
        <v>17</v>
      </c>
      <c r="C96" s="74" t="s">
        <v>21</v>
      </c>
      <c r="D96" s="99"/>
      <c r="E96" s="88"/>
      <c r="F96" s="99"/>
      <c r="G96" s="88"/>
    </row>
    <row r="97" spans="1:8" x14ac:dyDescent="0.25">
      <c r="A97" s="262"/>
      <c r="B97" s="78"/>
      <c r="C97" s="79" t="s">
        <v>43</v>
      </c>
      <c r="D97" s="112">
        <f>SUM(D91:D96)</f>
        <v>0.1313</v>
      </c>
      <c r="E97" s="103">
        <f>SUM(E91:E96)</f>
        <v>217.369776</v>
      </c>
      <c r="F97" s="112">
        <f>SUM(F91:F96)</f>
        <v>0.1313</v>
      </c>
      <c r="G97" s="103">
        <f>SUM(G91:G96)</f>
        <v>224.10999999999999</v>
      </c>
    </row>
    <row r="98" spans="1:8" x14ac:dyDescent="0.25">
      <c r="A98" s="262"/>
      <c r="B98" s="78" t="s">
        <v>17</v>
      </c>
      <c r="C98" s="74" t="s">
        <v>266</v>
      </c>
      <c r="D98" s="240">
        <f>D64*D97</f>
        <v>4.6558980000000014E-2</v>
      </c>
      <c r="E98" s="88">
        <f>D98*$D$33</f>
        <v>77.079322569600023</v>
      </c>
      <c r="F98" s="240">
        <f>F64*F97</f>
        <v>4.697914000000001E-2</v>
      </c>
      <c r="G98" s="88">
        <f>ROUND(F98*$F$33,2)</f>
        <v>80.19</v>
      </c>
      <c r="H98" s="238"/>
    </row>
    <row r="99" spans="1:8" x14ac:dyDescent="0.25">
      <c r="A99" s="262"/>
      <c r="B99" s="330" t="s">
        <v>51</v>
      </c>
      <c r="C99" s="330"/>
      <c r="D99" s="96">
        <f>SUM(D97:D98)</f>
        <v>0.17785898</v>
      </c>
      <c r="E99" s="89">
        <f>SUM(E97:E98)</f>
        <v>294.44909856960004</v>
      </c>
      <c r="F99" s="96">
        <f>SUM(F97:F98)</f>
        <v>0.17827914</v>
      </c>
      <c r="G99" s="139">
        <f>SUM(G97:G98)</f>
        <v>304.29999999999995</v>
      </c>
    </row>
    <row r="100" spans="1:8" ht="15" customHeight="1" x14ac:dyDescent="0.25">
      <c r="A100" s="262"/>
      <c r="B100" s="322"/>
      <c r="C100" s="322"/>
      <c r="D100" s="73"/>
      <c r="E100" s="73"/>
      <c r="F100" s="73"/>
      <c r="G100" s="73"/>
    </row>
    <row r="101" spans="1:8" ht="15" customHeight="1" x14ac:dyDescent="0.25">
      <c r="A101" s="262"/>
      <c r="B101" s="311" t="s">
        <v>58</v>
      </c>
      <c r="C101" s="311"/>
      <c r="D101" s="87"/>
      <c r="E101" s="73"/>
      <c r="F101" s="87"/>
      <c r="G101" s="73"/>
    </row>
    <row r="102" spans="1:8" x14ac:dyDescent="0.25">
      <c r="A102" s="262"/>
      <c r="B102" s="350"/>
      <c r="C102" s="350"/>
      <c r="D102" s="73"/>
      <c r="E102" s="73"/>
      <c r="F102" s="73"/>
      <c r="G102" s="73"/>
    </row>
    <row r="103" spans="1:8" x14ac:dyDescent="0.25">
      <c r="A103" s="262"/>
      <c r="B103" s="75">
        <v>4</v>
      </c>
      <c r="C103" s="75" t="s">
        <v>59</v>
      </c>
      <c r="D103" s="75" t="s">
        <v>6</v>
      </c>
      <c r="E103" s="73"/>
      <c r="F103" s="75" t="s">
        <v>6</v>
      </c>
      <c r="G103" s="73"/>
    </row>
    <row r="104" spans="1:8" x14ac:dyDescent="0.25">
      <c r="A104" s="262"/>
      <c r="B104" s="78" t="s">
        <v>30</v>
      </c>
      <c r="C104" s="74" t="s">
        <v>93</v>
      </c>
      <c r="D104" s="110">
        <f>E64</f>
        <v>587.04739200000006</v>
      </c>
      <c r="E104" s="73"/>
      <c r="F104" s="110">
        <f>G64</f>
        <v>610.71</v>
      </c>
      <c r="G104" s="73"/>
    </row>
    <row r="105" spans="1:8" x14ac:dyDescent="0.25">
      <c r="A105" s="262"/>
      <c r="B105" s="78" t="s">
        <v>41</v>
      </c>
      <c r="C105" s="74" t="s">
        <v>94</v>
      </c>
      <c r="D105" s="110">
        <f>E74</f>
        <v>249.14923725120002</v>
      </c>
      <c r="E105" s="73"/>
      <c r="F105" s="110">
        <f>G74</f>
        <v>257.48</v>
      </c>
      <c r="G105" s="73"/>
    </row>
    <row r="106" spans="1:8" x14ac:dyDescent="0.25">
      <c r="A106" s="262"/>
      <c r="B106" s="78" t="s">
        <v>45</v>
      </c>
      <c r="C106" s="74" t="s">
        <v>46</v>
      </c>
      <c r="D106" s="110">
        <f>E79</f>
        <v>1.6594998700799999</v>
      </c>
      <c r="E106" s="73"/>
      <c r="F106" s="110">
        <f>G79</f>
        <v>1.71</v>
      </c>
      <c r="G106" s="73"/>
    </row>
    <row r="107" spans="1:8" x14ac:dyDescent="0.25">
      <c r="A107" s="262"/>
      <c r="B107" s="78" t="s">
        <v>47</v>
      </c>
      <c r="C107" s="74" t="s">
        <v>60</v>
      </c>
      <c r="D107" s="110">
        <f>E88</f>
        <v>72.459726451199998</v>
      </c>
      <c r="E107" s="73"/>
      <c r="F107" s="110">
        <f>G88</f>
        <v>25.61</v>
      </c>
      <c r="G107" s="73"/>
    </row>
    <row r="108" spans="1:8" x14ac:dyDescent="0.25">
      <c r="A108" s="262"/>
      <c r="B108" s="78" t="s">
        <v>53</v>
      </c>
      <c r="C108" s="74" t="s">
        <v>61</v>
      </c>
      <c r="D108" s="110">
        <f>E99</f>
        <v>294.44909856960004</v>
      </c>
      <c r="E108" s="73"/>
      <c r="F108" s="110">
        <f>G99</f>
        <v>304.29999999999995</v>
      </c>
      <c r="G108" s="73"/>
    </row>
    <row r="109" spans="1:8" x14ac:dyDescent="0.25">
      <c r="A109" s="262"/>
      <c r="B109" s="78" t="s">
        <v>62</v>
      </c>
      <c r="C109" s="74" t="s">
        <v>63</v>
      </c>
      <c r="D109" s="111"/>
      <c r="E109" s="73"/>
      <c r="F109" s="111"/>
      <c r="G109" s="73"/>
    </row>
    <row r="110" spans="1:8" x14ac:dyDescent="0.25">
      <c r="A110" s="262"/>
      <c r="B110" s="330" t="s">
        <v>51</v>
      </c>
      <c r="C110" s="330"/>
      <c r="D110" s="105">
        <f>SUM(D104:D109)</f>
        <v>1204.7649541420801</v>
      </c>
      <c r="E110" s="73"/>
      <c r="F110" s="105">
        <f>SUM(F104:F109)</f>
        <v>1199.81</v>
      </c>
      <c r="G110" s="73"/>
    </row>
    <row r="111" spans="1:8" ht="15" customHeight="1" x14ac:dyDescent="0.25">
      <c r="A111" s="262"/>
      <c r="B111" s="331" t="s">
        <v>264</v>
      </c>
      <c r="C111" s="331"/>
      <c r="D111" s="82"/>
      <c r="E111" s="82"/>
      <c r="F111" s="82"/>
      <c r="G111" s="82"/>
    </row>
    <row r="112" spans="1:8" s="6" customFormat="1" x14ac:dyDescent="0.25">
      <c r="A112" s="262"/>
      <c r="B112" s="331" t="s">
        <v>265</v>
      </c>
      <c r="C112" s="331"/>
      <c r="D112" s="82"/>
      <c r="E112" s="82"/>
      <c r="F112" s="82"/>
      <c r="G112" s="82"/>
    </row>
    <row r="113" spans="1:7" s="6" customFormat="1" ht="15" customHeight="1" x14ac:dyDescent="0.25">
      <c r="A113" s="262"/>
      <c r="B113" s="335"/>
      <c r="C113" s="335"/>
      <c r="D113" s="77"/>
      <c r="E113" s="77"/>
      <c r="F113" s="77"/>
      <c r="G113" s="77"/>
    </row>
    <row r="114" spans="1:7" s="6" customFormat="1" ht="15" customHeight="1" x14ac:dyDescent="0.25">
      <c r="A114" s="262"/>
      <c r="B114" s="311" t="s">
        <v>64</v>
      </c>
      <c r="C114" s="311"/>
      <c r="D114" s="87"/>
      <c r="E114" s="87"/>
      <c r="F114" s="87"/>
      <c r="G114" s="87"/>
    </row>
    <row r="115" spans="1:7" x14ac:dyDescent="0.25">
      <c r="B115" s="75">
        <v>5</v>
      </c>
      <c r="C115" s="75" t="s">
        <v>65</v>
      </c>
      <c r="D115" s="75" t="s">
        <v>32</v>
      </c>
      <c r="E115" s="75" t="s">
        <v>6</v>
      </c>
      <c r="F115" s="75" t="s">
        <v>32</v>
      </c>
      <c r="G115" s="75" t="s">
        <v>6</v>
      </c>
    </row>
    <row r="116" spans="1:7" x14ac:dyDescent="0.25">
      <c r="B116" s="78" t="s">
        <v>7</v>
      </c>
      <c r="C116" s="74" t="s">
        <v>66</v>
      </c>
      <c r="D116" s="100">
        <v>0.01</v>
      </c>
      <c r="E116" s="106">
        <f>SUM(D33+D43+D51+D110)*D116</f>
        <v>36.924621708087464</v>
      </c>
      <c r="F116" s="100">
        <v>0.01</v>
      </c>
      <c r="G116" s="106">
        <f>ROUND(SUM(F33+F43+F51+F110)*F116,2)</f>
        <v>37.82</v>
      </c>
    </row>
    <row r="117" spans="1:7" x14ac:dyDescent="0.25">
      <c r="B117" s="78" t="s">
        <v>9</v>
      </c>
      <c r="C117" s="76" t="s">
        <v>67</v>
      </c>
      <c r="D117" s="112">
        <v>0.14249999999999999</v>
      </c>
      <c r="E117" s="106"/>
      <c r="F117" s="112">
        <v>0.14249999999999999</v>
      </c>
      <c r="G117" s="106"/>
    </row>
    <row r="118" spans="1:7" x14ac:dyDescent="0.25">
      <c r="B118" s="78"/>
      <c r="C118" s="74" t="s">
        <v>259</v>
      </c>
      <c r="D118" s="100">
        <v>9.2499999999999999E-2</v>
      </c>
      <c r="E118" s="106">
        <f>ROUND((($D$134+$E$116+$E$122)*$D$118)/(1-$D$117),2)</f>
        <v>413.92</v>
      </c>
      <c r="F118" s="100">
        <v>9.2499999999999999E-2</v>
      </c>
      <c r="G118" s="120">
        <f>ROUND((($F$134+$G$116+$G$122)*$F$118)/(1-$F$117),2)</f>
        <v>423.97</v>
      </c>
    </row>
    <row r="119" spans="1:7" x14ac:dyDescent="0.25">
      <c r="B119" s="78"/>
      <c r="C119" s="74" t="s">
        <v>260</v>
      </c>
      <c r="D119" s="107">
        <v>0.05</v>
      </c>
      <c r="E119" s="106">
        <f>ROUND((($D$134+$E$116+$E$122)*$D$119)/(1-$D$117),2)</f>
        <v>223.74</v>
      </c>
      <c r="F119" s="107">
        <v>0.05</v>
      </c>
      <c r="G119" s="120">
        <f>ROUND((($F$134+$G$116+$G$122)*$F$119)/(1-$D$117),2)</f>
        <v>229.17</v>
      </c>
    </row>
    <row r="120" spans="1:7" x14ac:dyDescent="0.25">
      <c r="B120" s="78"/>
      <c r="C120" s="74" t="s">
        <v>261</v>
      </c>
      <c r="D120" s="95"/>
      <c r="E120" s="106"/>
      <c r="F120" s="95"/>
      <c r="G120" s="106"/>
    </row>
    <row r="121" spans="1:7" x14ac:dyDescent="0.25">
      <c r="B121" s="78"/>
      <c r="C121" s="74" t="s">
        <v>262</v>
      </c>
      <c r="D121" s="95"/>
      <c r="E121" s="106"/>
      <c r="F121" s="95"/>
      <c r="G121" s="106"/>
    </row>
    <row r="122" spans="1:7" x14ac:dyDescent="0.25">
      <c r="B122" s="78" t="s">
        <v>11</v>
      </c>
      <c r="C122" s="74" t="s">
        <v>263</v>
      </c>
      <c r="D122" s="108">
        <v>2.8899999999999999E-2</v>
      </c>
      <c r="E122" s="106">
        <f>SUM(E116+D110+D51+D43+D33)*D122</f>
        <v>107.7792783037365</v>
      </c>
      <c r="F122" s="108">
        <v>2.8899999999999999E-2</v>
      </c>
      <c r="G122" s="106">
        <f>ROUND(SUM(G116+F110+F51+F43+F33)*F122,2)</f>
        <v>110.4</v>
      </c>
    </row>
    <row r="123" spans="1:7" x14ac:dyDescent="0.25">
      <c r="B123" s="330" t="s">
        <v>40</v>
      </c>
      <c r="C123" s="330"/>
      <c r="D123" s="85"/>
      <c r="E123" s="105">
        <f>SUM(E116:E122)</f>
        <v>782.36390001182406</v>
      </c>
      <c r="F123" s="85"/>
      <c r="G123" s="105">
        <f>SUM(G116:G122)</f>
        <v>801.36</v>
      </c>
    </row>
    <row r="124" spans="1:7" x14ac:dyDescent="0.25">
      <c r="B124" s="323" t="s">
        <v>248</v>
      </c>
      <c r="C124" s="323"/>
      <c r="D124" s="87"/>
      <c r="E124" s="87"/>
      <c r="F124" s="87"/>
      <c r="G124" s="87"/>
    </row>
    <row r="125" spans="1:7" x14ac:dyDescent="0.25">
      <c r="B125" s="323" t="s">
        <v>249</v>
      </c>
      <c r="C125" s="323"/>
      <c r="D125" s="87"/>
      <c r="E125" s="87"/>
      <c r="F125" s="87"/>
      <c r="G125" s="87"/>
    </row>
    <row r="126" spans="1:7" x14ac:dyDescent="0.25">
      <c r="B126" s="322" t="s">
        <v>95</v>
      </c>
      <c r="C126" s="322"/>
      <c r="D126" s="109" t="s">
        <v>239</v>
      </c>
      <c r="E126" s="109">
        <f>1-0.1425</f>
        <v>0.85750000000000004</v>
      </c>
      <c r="F126" s="109" t="s">
        <v>239</v>
      </c>
      <c r="G126" s="109">
        <f>1-0.1425</f>
        <v>0.85750000000000004</v>
      </c>
    </row>
    <row r="127" spans="1:7" x14ac:dyDescent="0.25">
      <c r="B127" s="311" t="s">
        <v>68</v>
      </c>
      <c r="C127" s="311"/>
      <c r="D127" s="87"/>
      <c r="E127" s="87"/>
      <c r="F127" s="87"/>
      <c r="G127" s="87"/>
    </row>
    <row r="128" spans="1:7" x14ac:dyDescent="0.25">
      <c r="B128" s="311"/>
      <c r="C128" s="311"/>
      <c r="D128" s="73"/>
      <c r="E128" s="73"/>
      <c r="F128" s="73"/>
      <c r="G128" s="73"/>
    </row>
    <row r="129" spans="2:7" ht="15" customHeight="1" x14ac:dyDescent="0.25">
      <c r="B129" s="312" t="s">
        <v>69</v>
      </c>
      <c r="C129" s="312"/>
      <c r="D129" s="312" t="s">
        <v>70</v>
      </c>
      <c r="E129" s="312"/>
      <c r="F129" s="312" t="s">
        <v>70</v>
      </c>
      <c r="G129" s="312"/>
    </row>
    <row r="130" spans="2:7" x14ac:dyDescent="0.25">
      <c r="B130" s="78" t="s">
        <v>7</v>
      </c>
      <c r="C130" s="74" t="s">
        <v>254</v>
      </c>
      <c r="D130" s="315">
        <f>D33</f>
        <v>1655.52</v>
      </c>
      <c r="E130" s="316"/>
      <c r="F130" s="315">
        <f>F33</f>
        <v>1706.84</v>
      </c>
      <c r="G130" s="316"/>
    </row>
    <row r="131" spans="2:7" x14ac:dyDescent="0.25">
      <c r="B131" s="78" t="s">
        <v>9</v>
      </c>
      <c r="C131" s="74" t="s">
        <v>255</v>
      </c>
      <c r="D131" s="315">
        <f>D43</f>
        <v>726.26055000000008</v>
      </c>
      <c r="E131" s="316"/>
      <c r="F131" s="315">
        <f>F43</f>
        <v>769.55435</v>
      </c>
      <c r="G131" s="316"/>
    </row>
    <row r="132" spans="2:7" x14ac:dyDescent="0.25">
      <c r="B132" s="78" t="s">
        <v>11</v>
      </c>
      <c r="C132" s="74" t="s">
        <v>256</v>
      </c>
      <c r="D132" s="315">
        <f>D51</f>
        <v>105.91666666666666</v>
      </c>
      <c r="E132" s="316"/>
      <c r="F132" s="315">
        <f>F51</f>
        <v>105.91666666666666</v>
      </c>
      <c r="G132" s="316"/>
    </row>
    <row r="133" spans="2:7" x14ac:dyDescent="0.25">
      <c r="B133" s="78" t="s">
        <v>13</v>
      </c>
      <c r="C133" s="74" t="s">
        <v>257</v>
      </c>
      <c r="D133" s="315">
        <f>D110</f>
        <v>1204.7649541420801</v>
      </c>
      <c r="E133" s="316"/>
      <c r="F133" s="315">
        <f>F110</f>
        <v>1199.81</v>
      </c>
      <c r="G133" s="316"/>
    </row>
    <row r="134" spans="2:7" ht="15" customHeight="1" x14ac:dyDescent="0.25">
      <c r="B134" s="317" t="s">
        <v>71</v>
      </c>
      <c r="C134" s="317"/>
      <c r="D134" s="318">
        <f>SUM(D130:D133)</f>
        <v>3692.4621708087466</v>
      </c>
      <c r="E134" s="319"/>
      <c r="F134" s="318">
        <f>ROUND(SUM(F130:F133),2)</f>
        <v>3782.12</v>
      </c>
      <c r="G134" s="319"/>
    </row>
    <row r="135" spans="2:7" x14ac:dyDescent="0.25">
      <c r="B135" s="78" t="s">
        <v>15</v>
      </c>
      <c r="C135" s="74" t="s">
        <v>258</v>
      </c>
      <c r="D135" s="320">
        <f>E123</f>
        <v>782.36390001182406</v>
      </c>
      <c r="E135" s="321"/>
      <c r="F135" s="320">
        <f>G123</f>
        <v>801.36</v>
      </c>
      <c r="G135" s="321"/>
    </row>
    <row r="136" spans="2:7" ht="15" customHeight="1" x14ac:dyDescent="0.25">
      <c r="B136" s="312" t="s">
        <v>72</v>
      </c>
      <c r="C136" s="312"/>
      <c r="D136" s="313">
        <f>SUM(D134:D135)</f>
        <v>4474.8260708205707</v>
      </c>
      <c r="E136" s="314"/>
      <c r="F136" s="348">
        <f>ROUND(SUM(F134:F135),2)</f>
        <v>4583.4799999999996</v>
      </c>
      <c r="G136" s="349"/>
    </row>
  </sheetData>
  <mergeCells count="80">
    <mergeCell ref="H85:H86"/>
    <mergeCell ref="B101:C101"/>
    <mergeCell ref="B102:C102"/>
    <mergeCell ref="B110:C110"/>
    <mergeCell ref="B64:C64"/>
    <mergeCell ref="B75:E75"/>
    <mergeCell ref="B79:C79"/>
    <mergeCell ref="B65:C65"/>
    <mergeCell ref="B66:C66"/>
    <mergeCell ref="B67:C67"/>
    <mergeCell ref="B74:C74"/>
    <mergeCell ref="H82:H83"/>
    <mergeCell ref="B34:C34"/>
    <mergeCell ref="B44:C44"/>
    <mergeCell ref="B23:C23"/>
    <mergeCell ref="F1:G1"/>
    <mergeCell ref="B5:C5"/>
    <mergeCell ref="B8:C8"/>
    <mergeCell ref="D12:E12"/>
    <mergeCell ref="F12:G12"/>
    <mergeCell ref="B14:C14"/>
    <mergeCell ref="B15:C15"/>
    <mergeCell ref="B17:C17"/>
    <mergeCell ref="B18:C18"/>
    <mergeCell ref="B33:C33"/>
    <mergeCell ref="B43:C43"/>
    <mergeCell ref="B16:C16"/>
    <mergeCell ref="F11:G11"/>
    <mergeCell ref="B45:C45"/>
    <mergeCell ref="B52:C52"/>
    <mergeCell ref="B53:C53"/>
    <mergeCell ref="B54:C54"/>
    <mergeCell ref="B51:C51"/>
    <mergeCell ref="B111:C111"/>
    <mergeCell ref="B114:C114"/>
    <mergeCell ref="B136:C136"/>
    <mergeCell ref="D136:E136"/>
    <mergeCell ref="F136:G136"/>
    <mergeCell ref="D131:E131"/>
    <mergeCell ref="F131:G131"/>
    <mergeCell ref="D132:E132"/>
    <mergeCell ref="F132:G132"/>
    <mergeCell ref="D133:E133"/>
    <mergeCell ref="F133:G133"/>
    <mergeCell ref="D134:E134"/>
    <mergeCell ref="B134:C134"/>
    <mergeCell ref="B124:C124"/>
    <mergeCell ref="B125:C125"/>
    <mergeCell ref="B126:C126"/>
    <mergeCell ref="B127:C127"/>
    <mergeCell ref="B128:C128"/>
    <mergeCell ref="F134:G134"/>
    <mergeCell ref="D135:E135"/>
    <mergeCell ref="F135:G135"/>
    <mergeCell ref="B129:C129"/>
    <mergeCell ref="D129:E129"/>
    <mergeCell ref="F129:G129"/>
    <mergeCell ref="D130:E130"/>
    <mergeCell ref="F130:G130"/>
    <mergeCell ref="F2:G8"/>
    <mergeCell ref="B4:C4"/>
    <mergeCell ref="B7:C7"/>
    <mergeCell ref="D9:E10"/>
    <mergeCell ref="F9:G10"/>
    <mergeCell ref="B123:C123"/>
    <mergeCell ref="A1:A114"/>
    <mergeCell ref="B1:C1"/>
    <mergeCell ref="D1:E1"/>
    <mergeCell ref="B2:C3"/>
    <mergeCell ref="D2:E8"/>
    <mergeCell ref="D11:E11"/>
    <mergeCell ref="B112:C112"/>
    <mergeCell ref="B113:C113"/>
    <mergeCell ref="B80:C80"/>
    <mergeCell ref="B88:C88"/>
    <mergeCell ref="B89:C89"/>
    <mergeCell ref="B99:C99"/>
    <mergeCell ref="B100:C100"/>
    <mergeCell ref="B68:C68"/>
    <mergeCell ref="B13:C13"/>
  </mergeCells>
  <printOptions horizontalCentered="1"/>
  <pageMargins left="0.6692913385826772" right="0.6692913385826772" top="2.0472440944881889" bottom="1.2598425196850394" header="0.19685039370078741" footer="0.19685039370078741"/>
  <pageSetup paperSize="9" scale="48" orientation="portrait" r:id="rId1"/>
  <rowBreaks count="1" manualBreakCount="1">
    <brk id="52" max="7"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36"/>
  <sheetViews>
    <sheetView view="pageBreakPreview" topLeftCell="A78" zoomScaleNormal="100" zoomScaleSheetLayoutView="100" workbookViewId="0">
      <selection activeCell="H85" sqref="H85:H86"/>
    </sheetView>
  </sheetViews>
  <sheetFormatPr defaultRowHeight="15" x14ac:dyDescent="0.25"/>
  <cols>
    <col min="1" max="1" width="6.85546875" customWidth="1"/>
    <col min="2" max="2" width="12.5703125" customWidth="1"/>
    <col min="3" max="3" width="70.5703125" customWidth="1"/>
    <col min="4" max="4" width="13.5703125" customWidth="1"/>
    <col min="5" max="5" width="17.7109375" customWidth="1"/>
    <col min="6" max="6" width="12.42578125" customWidth="1"/>
    <col min="7" max="7" width="16.42578125" customWidth="1"/>
  </cols>
  <sheetData>
    <row r="1" spans="1:7" x14ac:dyDescent="0.25">
      <c r="A1" s="262"/>
      <c r="B1" s="351"/>
      <c r="C1" s="351"/>
      <c r="D1" s="351"/>
      <c r="E1" s="351"/>
      <c r="F1" s="351"/>
      <c r="G1" s="351"/>
    </row>
    <row r="2" spans="1:7" ht="15" customHeight="1" x14ac:dyDescent="0.25">
      <c r="A2" s="262"/>
      <c r="B2" s="329" t="s">
        <v>273</v>
      </c>
      <c r="C2" s="329"/>
      <c r="D2" s="339"/>
      <c r="E2" s="339"/>
      <c r="F2" s="339"/>
      <c r="G2" s="339"/>
    </row>
    <row r="3" spans="1:7" x14ac:dyDescent="0.25">
      <c r="A3" s="262"/>
      <c r="B3" s="329"/>
      <c r="C3" s="329"/>
      <c r="D3" s="339"/>
      <c r="E3" s="339"/>
      <c r="F3" s="339"/>
      <c r="G3" s="339"/>
    </row>
    <row r="4" spans="1:7" x14ac:dyDescent="0.25">
      <c r="A4" s="262"/>
      <c r="B4" s="332"/>
      <c r="C4" s="332"/>
      <c r="D4" s="339"/>
      <c r="E4" s="339"/>
      <c r="F4" s="339"/>
      <c r="G4" s="339"/>
    </row>
    <row r="5" spans="1:7" ht="15" customHeight="1" x14ac:dyDescent="0.25">
      <c r="A5" s="262"/>
      <c r="B5" s="324" t="s">
        <v>113</v>
      </c>
      <c r="C5" s="324"/>
      <c r="D5" s="339"/>
      <c r="E5" s="339"/>
      <c r="F5" s="339"/>
      <c r="G5" s="339"/>
    </row>
    <row r="6" spans="1:7" x14ac:dyDescent="0.25">
      <c r="A6" s="262"/>
      <c r="B6" s="76" t="s">
        <v>73</v>
      </c>
      <c r="C6" s="76" t="s">
        <v>112</v>
      </c>
      <c r="D6" s="339"/>
      <c r="E6" s="339"/>
      <c r="F6" s="339"/>
      <c r="G6" s="339"/>
    </row>
    <row r="7" spans="1:7" x14ac:dyDescent="0.25">
      <c r="A7" s="262"/>
      <c r="B7" s="332"/>
      <c r="C7" s="332"/>
      <c r="D7" s="339"/>
      <c r="E7" s="339"/>
      <c r="F7" s="339"/>
      <c r="G7" s="339"/>
    </row>
    <row r="8" spans="1:7" x14ac:dyDescent="0.25">
      <c r="A8" s="262"/>
      <c r="B8" s="311" t="s">
        <v>74</v>
      </c>
      <c r="C8" s="311"/>
      <c r="D8" s="339"/>
      <c r="E8" s="339"/>
      <c r="F8" s="339"/>
      <c r="G8" s="339"/>
    </row>
    <row r="9" spans="1:7" x14ac:dyDescent="0.25">
      <c r="A9" s="262"/>
      <c r="B9" s="127" t="s">
        <v>7</v>
      </c>
      <c r="C9" s="74" t="s">
        <v>236</v>
      </c>
      <c r="D9" s="333">
        <v>42815</v>
      </c>
      <c r="E9" s="333"/>
      <c r="F9" s="337">
        <v>43192</v>
      </c>
      <c r="G9" s="337"/>
    </row>
    <row r="10" spans="1:7" x14ac:dyDescent="0.25">
      <c r="A10" s="262"/>
      <c r="B10" s="127" t="s">
        <v>9</v>
      </c>
      <c r="C10" s="74" t="s">
        <v>237</v>
      </c>
      <c r="D10" s="333"/>
      <c r="E10" s="333"/>
      <c r="F10" s="337"/>
      <c r="G10" s="337"/>
    </row>
    <row r="11" spans="1:7" x14ac:dyDescent="0.25">
      <c r="A11" s="262"/>
      <c r="B11" s="127" t="s">
        <v>11</v>
      </c>
      <c r="C11" s="76" t="s">
        <v>235</v>
      </c>
      <c r="D11" s="329" t="s">
        <v>234</v>
      </c>
      <c r="E11" s="329"/>
      <c r="F11" s="338" t="s">
        <v>276</v>
      </c>
      <c r="G11" s="338"/>
    </row>
    <row r="12" spans="1:7" x14ac:dyDescent="0.25">
      <c r="A12" s="262"/>
      <c r="B12" s="127" t="s">
        <v>13</v>
      </c>
      <c r="C12" s="74" t="s">
        <v>75</v>
      </c>
      <c r="D12" s="334" t="s">
        <v>76</v>
      </c>
      <c r="E12" s="334"/>
      <c r="F12" s="334" t="s">
        <v>76</v>
      </c>
      <c r="G12" s="334"/>
    </row>
    <row r="13" spans="1:7" x14ac:dyDescent="0.25">
      <c r="A13" s="262"/>
      <c r="B13" s="332"/>
      <c r="C13" s="332"/>
      <c r="D13" s="121"/>
      <c r="E13" s="73"/>
      <c r="F13" s="121"/>
      <c r="G13" s="73"/>
    </row>
    <row r="14" spans="1:7" x14ac:dyDescent="0.25">
      <c r="A14" s="262"/>
      <c r="B14" s="311" t="s">
        <v>77</v>
      </c>
      <c r="C14" s="311"/>
      <c r="D14" s="87"/>
      <c r="E14" s="73"/>
      <c r="F14" s="87"/>
      <c r="G14" s="73"/>
    </row>
    <row r="15" spans="1:7" ht="45" x14ac:dyDescent="0.25">
      <c r="A15" s="262"/>
      <c r="B15" s="317" t="s">
        <v>78</v>
      </c>
      <c r="C15" s="317"/>
      <c r="D15" s="115" t="s">
        <v>79</v>
      </c>
      <c r="E15" s="115" t="s">
        <v>272</v>
      </c>
      <c r="F15" s="115" t="s">
        <v>79</v>
      </c>
      <c r="G15" s="115" t="s">
        <v>80</v>
      </c>
    </row>
    <row r="16" spans="1:7" x14ac:dyDescent="0.25">
      <c r="A16" s="262"/>
      <c r="B16" s="329" t="s">
        <v>126</v>
      </c>
      <c r="C16" s="329"/>
      <c r="D16" s="126" t="s">
        <v>96</v>
      </c>
      <c r="E16" s="126" t="s">
        <v>97</v>
      </c>
      <c r="F16" s="126" t="s">
        <v>96</v>
      </c>
      <c r="G16" s="126" t="s">
        <v>97</v>
      </c>
    </row>
    <row r="17" spans="1:7" x14ac:dyDescent="0.25">
      <c r="A17" s="262"/>
      <c r="B17" s="325"/>
      <c r="C17" s="325"/>
      <c r="D17" s="84"/>
      <c r="E17" s="84"/>
      <c r="F17" s="84"/>
      <c r="G17" s="84"/>
    </row>
    <row r="18" spans="1:7" ht="15" customHeight="1" x14ac:dyDescent="0.25">
      <c r="A18" s="262"/>
      <c r="B18" s="312" t="s">
        <v>0</v>
      </c>
      <c r="C18" s="312"/>
      <c r="D18" s="85"/>
      <c r="E18" s="114"/>
      <c r="F18" s="85"/>
      <c r="G18" s="114"/>
    </row>
    <row r="19" spans="1:7" x14ac:dyDescent="0.25">
      <c r="A19" s="262"/>
      <c r="B19" s="127">
        <v>1</v>
      </c>
      <c r="C19" s="80" t="s">
        <v>1</v>
      </c>
      <c r="D19" s="127" t="str">
        <f>B16</f>
        <v>COPEIRA</v>
      </c>
      <c r="E19" s="73"/>
      <c r="F19" s="127" t="str">
        <f>B16</f>
        <v>COPEIRA</v>
      </c>
      <c r="G19" s="73"/>
    </row>
    <row r="20" spans="1:7" x14ac:dyDescent="0.25">
      <c r="A20" s="262"/>
      <c r="B20" s="127">
        <v>2</v>
      </c>
      <c r="C20" s="80" t="s">
        <v>2</v>
      </c>
      <c r="D20" s="86">
        <v>1121.33</v>
      </c>
      <c r="E20" s="73"/>
      <c r="F20" s="142">
        <v>1156.0899999999999</v>
      </c>
      <c r="G20" s="73"/>
    </row>
    <row r="21" spans="1:7" x14ac:dyDescent="0.25">
      <c r="A21" s="262"/>
      <c r="B21" s="127">
        <v>3</v>
      </c>
      <c r="C21" s="80" t="s">
        <v>87</v>
      </c>
      <c r="D21" s="127" t="str">
        <f>B16</f>
        <v>COPEIRA</v>
      </c>
      <c r="E21" s="73"/>
      <c r="F21" s="127" t="str">
        <f>B16</f>
        <v>COPEIRA</v>
      </c>
      <c r="G21" s="73"/>
    </row>
    <row r="22" spans="1:7" x14ac:dyDescent="0.25">
      <c r="A22" s="262"/>
      <c r="B22" s="127">
        <v>4</v>
      </c>
      <c r="C22" s="80" t="s">
        <v>3</v>
      </c>
      <c r="D22" s="125">
        <v>42736</v>
      </c>
      <c r="E22" s="73"/>
      <c r="F22" s="141">
        <v>43101</v>
      </c>
      <c r="G22" s="73"/>
    </row>
    <row r="23" spans="1:7" x14ac:dyDescent="0.25">
      <c r="A23" s="262"/>
      <c r="B23" s="311" t="s">
        <v>4</v>
      </c>
      <c r="C23" s="311"/>
      <c r="D23" s="87"/>
      <c r="E23" s="73"/>
      <c r="F23" s="87"/>
      <c r="G23" s="73"/>
    </row>
    <row r="24" spans="1:7" x14ac:dyDescent="0.25">
      <c r="A24" s="262"/>
      <c r="B24" s="124">
        <v>1</v>
      </c>
      <c r="C24" s="124" t="s">
        <v>5</v>
      </c>
      <c r="D24" s="124" t="s">
        <v>6</v>
      </c>
      <c r="E24" s="73"/>
      <c r="F24" s="124" t="s">
        <v>6</v>
      </c>
      <c r="G24" s="73"/>
    </row>
    <row r="25" spans="1:7" x14ac:dyDescent="0.25">
      <c r="A25" s="262"/>
      <c r="B25" s="127" t="s">
        <v>7</v>
      </c>
      <c r="C25" s="74" t="s">
        <v>8</v>
      </c>
      <c r="D25" s="88">
        <f>D20</f>
        <v>1121.33</v>
      </c>
      <c r="E25" s="73"/>
      <c r="F25" s="88">
        <f>F20</f>
        <v>1156.0899999999999</v>
      </c>
      <c r="G25" s="73"/>
    </row>
    <row r="26" spans="1:7" x14ac:dyDescent="0.25">
      <c r="A26" s="262"/>
      <c r="B26" s="127" t="s">
        <v>9</v>
      </c>
      <c r="C26" s="74" t="s">
        <v>10</v>
      </c>
      <c r="D26" s="88"/>
      <c r="E26" s="73"/>
      <c r="F26" s="88"/>
      <c r="G26" s="73"/>
    </row>
    <row r="27" spans="1:7" x14ac:dyDescent="0.25">
      <c r="A27" s="262"/>
      <c r="B27" s="127" t="s">
        <v>11</v>
      </c>
      <c r="C27" s="74" t="s">
        <v>12</v>
      </c>
      <c r="D27" s="88"/>
      <c r="E27" s="73"/>
      <c r="F27" s="88"/>
      <c r="G27" s="73"/>
    </row>
    <row r="28" spans="1:7" x14ac:dyDescent="0.25">
      <c r="A28" s="262"/>
      <c r="B28" s="127" t="s">
        <v>13</v>
      </c>
      <c r="C28" s="74" t="s">
        <v>14</v>
      </c>
      <c r="D28" s="88"/>
      <c r="E28" s="73"/>
      <c r="F28" s="88"/>
      <c r="G28" s="73"/>
    </row>
    <row r="29" spans="1:7" x14ac:dyDescent="0.25">
      <c r="A29" s="262"/>
      <c r="B29" s="127" t="s">
        <v>15</v>
      </c>
      <c r="C29" s="74" t="s">
        <v>16</v>
      </c>
      <c r="D29" s="88"/>
      <c r="E29" s="73"/>
      <c r="F29" s="88"/>
      <c r="G29" s="73"/>
    </row>
    <row r="30" spans="1:7" x14ac:dyDescent="0.25">
      <c r="A30" s="262"/>
      <c r="B30" s="127" t="s">
        <v>17</v>
      </c>
      <c r="C30" s="74" t="s">
        <v>18</v>
      </c>
      <c r="D30" s="88"/>
      <c r="E30" s="73"/>
      <c r="F30" s="88"/>
      <c r="G30" s="73"/>
    </row>
    <row r="31" spans="1:7" x14ac:dyDescent="0.25">
      <c r="A31" s="262"/>
      <c r="B31" s="127" t="s">
        <v>19</v>
      </c>
      <c r="C31" s="74" t="s">
        <v>110</v>
      </c>
      <c r="D31" s="88"/>
      <c r="E31" s="73"/>
      <c r="F31" s="88"/>
      <c r="G31" s="73"/>
    </row>
    <row r="32" spans="1:7" x14ac:dyDescent="0.25">
      <c r="A32" s="262"/>
      <c r="B32" s="127" t="s">
        <v>20</v>
      </c>
      <c r="C32" s="74" t="s">
        <v>21</v>
      </c>
      <c r="D32" s="88"/>
      <c r="E32" s="73"/>
      <c r="F32" s="88"/>
      <c r="G32" s="73"/>
    </row>
    <row r="33" spans="1:7" ht="15" customHeight="1" x14ac:dyDescent="0.25">
      <c r="A33" s="262"/>
      <c r="B33" s="312" t="s">
        <v>22</v>
      </c>
      <c r="C33" s="312"/>
      <c r="D33" s="89">
        <f>SUM(D25:D32)</f>
        <v>1121.33</v>
      </c>
      <c r="E33" s="114"/>
      <c r="F33" s="89">
        <f>SUM(F25:F32)</f>
        <v>1156.0899999999999</v>
      </c>
      <c r="G33" s="114"/>
    </row>
    <row r="34" spans="1:7" x14ac:dyDescent="0.25">
      <c r="A34" s="262"/>
      <c r="B34" s="311" t="s">
        <v>23</v>
      </c>
      <c r="C34" s="311"/>
      <c r="D34" s="87"/>
      <c r="E34" s="73"/>
      <c r="F34" s="87"/>
      <c r="G34" s="73"/>
    </row>
    <row r="35" spans="1:7" x14ac:dyDescent="0.25">
      <c r="A35" s="262"/>
      <c r="B35" s="124">
        <v>2</v>
      </c>
      <c r="C35" s="124" t="s">
        <v>24</v>
      </c>
      <c r="D35" s="124" t="s">
        <v>6</v>
      </c>
      <c r="E35" s="114"/>
      <c r="F35" s="124" t="s">
        <v>6</v>
      </c>
      <c r="G35" s="114"/>
    </row>
    <row r="36" spans="1:7" x14ac:dyDescent="0.25">
      <c r="A36" s="262"/>
      <c r="B36" s="127" t="s">
        <v>7</v>
      </c>
      <c r="C36" s="82" t="s">
        <v>271</v>
      </c>
      <c r="D36" s="90">
        <f>(5*2*20.7365) - D33*6%</f>
        <v>140.08520000000001</v>
      </c>
      <c r="E36" s="73"/>
      <c r="F36" s="90">
        <f>(5*2*20.7365) - F33*6%</f>
        <v>137.99960000000002</v>
      </c>
      <c r="G36" s="73"/>
    </row>
    <row r="37" spans="1:7" x14ac:dyDescent="0.25">
      <c r="A37" s="262"/>
      <c r="B37" s="127" t="s">
        <v>9</v>
      </c>
      <c r="C37" s="74" t="s">
        <v>275</v>
      </c>
      <c r="D37" s="88">
        <f>29.5*20.7365</f>
        <v>611.72675000000004</v>
      </c>
      <c r="E37" s="73"/>
      <c r="F37" s="143">
        <f>31.5*20.7365</f>
        <v>653.19974999999999</v>
      </c>
      <c r="G37" s="73"/>
    </row>
    <row r="38" spans="1:7" x14ac:dyDescent="0.25">
      <c r="A38" s="262"/>
      <c r="B38" s="127" t="s">
        <v>11</v>
      </c>
      <c r="C38" s="74" t="s">
        <v>25</v>
      </c>
      <c r="D38" s="88">
        <v>0</v>
      </c>
      <c r="E38" s="73"/>
      <c r="F38" s="88">
        <v>0</v>
      </c>
      <c r="G38" s="73"/>
    </row>
    <row r="39" spans="1:7" x14ac:dyDescent="0.25">
      <c r="A39" s="262"/>
      <c r="B39" s="127" t="s">
        <v>13</v>
      </c>
      <c r="C39" s="74" t="s">
        <v>81</v>
      </c>
      <c r="D39" s="88"/>
      <c r="E39" s="73"/>
      <c r="F39" s="88"/>
      <c r="G39" s="73"/>
    </row>
    <row r="40" spans="1:7" x14ac:dyDescent="0.25">
      <c r="A40" s="262"/>
      <c r="B40" s="127" t="s">
        <v>15</v>
      </c>
      <c r="C40" s="74" t="s">
        <v>232</v>
      </c>
      <c r="D40" s="117">
        <v>1.5</v>
      </c>
      <c r="E40" s="91" t="s">
        <v>238</v>
      </c>
      <c r="F40" s="117">
        <v>1.5</v>
      </c>
      <c r="G40" s="91"/>
    </row>
    <row r="41" spans="1:7" x14ac:dyDescent="0.25">
      <c r="A41" s="262"/>
      <c r="B41" s="127" t="s">
        <v>17</v>
      </c>
      <c r="C41" s="74" t="s">
        <v>88</v>
      </c>
      <c r="D41" s="92">
        <v>29.16</v>
      </c>
      <c r="E41" s="73"/>
      <c r="F41" s="92">
        <v>29.16</v>
      </c>
      <c r="G41" s="73"/>
    </row>
    <row r="42" spans="1:7" x14ac:dyDescent="0.25">
      <c r="A42" s="262"/>
      <c r="B42" s="113" t="s">
        <v>19</v>
      </c>
      <c r="C42" s="82" t="s">
        <v>233</v>
      </c>
      <c r="D42" s="92">
        <v>5</v>
      </c>
      <c r="E42" s="93"/>
      <c r="F42" s="143">
        <v>9.9</v>
      </c>
      <c r="G42" s="93"/>
    </row>
    <row r="43" spans="1:7" ht="15" customHeight="1" x14ac:dyDescent="0.25">
      <c r="A43" s="262"/>
      <c r="B43" s="312" t="s">
        <v>26</v>
      </c>
      <c r="C43" s="312"/>
      <c r="D43" s="89">
        <f>SUM(D36:D42)</f>
        <v>787.47194999999999</v>
      </c>
      <c r="E43" s="114"/>
      <c r="F43" s="89">
        <f>SUM(F36:F42)</f>
        <v>831.75934999999993</v>
      </c>
      <c r="G43" s="114"/>
    </row>
    <row r="44" spans="1:7" ht="15" customHeight="1" x14ac:dyDescent="0.25">
      <c r="A44" s="262"/>
      <c r="B44" s="331" t="s">
        <v>253</v>
      </c>
      <c r="C44" s="331"/>
      <c r="D44" s="82"/>
      <c r="E44" s="82"/>
      <c r="F44" s="82"/>
      <c r="G44" s="82"/>
    </row>
    <row r="45" spans="1:7" ht="15" customHeight="1" x14ac:dyDescent="0.25">
      <c r="A45" s="262"/>
      <c r="B45" s="317" t="s">
        <v>89</v>
      </c>
      <c r="C45" s="317"/>
      <c r="D45" s="76"/>
      <c r="E45" s="73"/>
      <c r="F45" s="76"/>
      <c r="G45" s="73"/>
    </row>
    <row r="46" spans="1:7" x14ac:dyDescent="0.25">
      <c r="A46" s="262"/>
      <c r="B46" s="124">
        <v>3</v>
      </c>
      <c r="C46" s="124" t="s">
        <v>27</v>
      </c>
      <c r="D46" s="124" t="s">
        <v>6</v>
      </c>
      <c r="E46" s="114"/>
      <c r="F46" s="124" t="s">
        <v>6</v>
      </c>
      <c r="G46" s="114"/>
    </row>
    <row r="47" spans="1:7" x14ac:dyDescent="0.25">
      <c r="A47" s="262"/>
      <c r="B47" s="127" t="s">
        <v>7</v>
      </c>
      <c r="C47" s="74" t="s">
        <v>231</v>
      </c>
      <c r="D47" s="88">
        <f>UNIFORMES!G28</f>
        <v>71.75333333333333</v>
      </c>
      <c r="E47" s="73"/>
      <c r="F47" s="88">
        <f>UNIFORMES!G28</f>
        <v>71.75333333333333</v>
      </c>
      <c r="G47" s="73"/>
    </row>
    <row r="48" spans="1:7" x14ac:dyDescent="0.25">
      <c r="A48" s="262"/>
      <c r="B48" s="127" t="s">
        <v>9</v>
      </c>
      <c r="C48" s="74" t="s">
        <v>107</v>
      </c>
      <c r="D48" s="88">
        <v>0</v>
      </c>
      <c r="E48" s="94"/>
      <c r="F48" s="88">
        <v>0</v>
      </c>
      <c r="G48" s="94"/>
    </row>
    <row r="49" spans="1:8" x14ac:dyDescent="0.25">
      <c r="A49" s="262"/>
      <c r="B49" s="113" t="s">
        <v>11</v>
      </c>
      <c r="C49" s="82" t="s">
        <v>108</v>
      </c>
      <c r="D49" s="92">
        <v>0</v>
      </c>
      <c r="E49" s="93"/>
      <c r="F49" s="92">
        <v>0</v>
      </c>
      <c r="G49" s="93"/>
    </row>
    <row r="50" spans="1:8" ht="25.5" x14ac:dyDescent="0.25">
      <c r="A50" s="262"/>
      <c r="B50" s="113" t="s">
        <v>13</v>
      </c>
      <c r="C50" s="82" t="s">
        <v>136</v>
      </c>
      <c r="D50" s="92">
        <f>TREINAMENTO!G15</f>
        <v>6.92</v>
      </c>
      <c r="E50" s="93"/>
      <c r="F50" s="92">
        <f>TREINAMENTO!G15</f>
        <v>6.92</v>
      </c>
      <c r="G50" s="93"/>
    </row>
    <row r="51" spans="1:8" ht="15" customHeight="1" x14ac:dyDescent="0.25">
      <c r="A51" s="262"/>
      <c r="B51" s="312" t="s">
        <v>28</v>
      </c>
      <c r="C51" s="312"/>
      <c r="D51" s="89">
        <f>SUM(D47:D50)</f>
        <v>78.673333333333332</v>
      </c>
      <c r="E51" s="114"/>
      <c r="F51" s="89">
        <f>SUM(F47:F50)</f>
        <v>78.673333333333332</v>
      </c>
      <c r="G51" s="114"/>
    </row>
    <row r="52" spans="1:8" ht="15" customHeight="1" x14ac:dyDescent="0.25">
      <c r="A52" s="262"/>
      <c r="B52" s="326" t="s">
        <v>247</v>
      </c>
      <c r="C52" s="326"/>
      <c r="D52" s="82"/>
      <c r="E52" s="82"/>
      <c r="F52" s="82"/>
      <c r="G52" s="82"/>
    </row>
    <row r="53" spans="1:8" x14ac:dyDescent="0.25">
      <c r="A53" s="262"/>
      <c r="B53" s="327" t="s">
        <v>29</v>
      </c>
      <c r="C53" s="327"/>
      <c r="D53" s="87"/>
      <c r="E53" s="87"/>
      <c r="F53" s="87"/>
      <c r="G53" s="87"/>
    </row>
    <row r="54" spans="1:8" x14ac:dyDescent="0.25">
      <c r="A54" s="262"/>
      <c r="B54" s="328" t="s">
        <v>82</v>
      </c>
      <c r="C54" s="328"/>
      <c r="D54" s="87"/>
      <c r="E54" s="87"/>
      <c r="F54" s="87"/>
      <c r="G54" s="87"/>
    </row>
    <row r="55" spans="1:8" x14ac:dyDescent="0.25">
      <c r="A55" s="262"/>
      <c r="B55" s="124" t="s">
        <v>30</v>
      </c>
      <c r="C55" s="124" t="s">
        <v>31</v>
      </c>
      <c r="D55" s="124" t="s">
        <v>32</v>
      </c>
      <c r="E55" s="124" t="s">
        <v>6</v>
      </c>
      <c r="F55" s="124" t="s">
        <v>32</v>
      </c>
      <c r="G55" s="124" t="s">
        <v>6</v>
      </c>
    </row>
    <row r="56" spans="1:8" x14ac:dyDescent="0.25">
      <c r="A56" s="262"/>
      <c r="B56" s="127" t="s">
        <v>7</v>
      </c>
      <c r="C56" s="74" t="s">
        <v>33</v>
      </c>
      <c r="D56" s="95">
        <v>0.2</v>
      </c>
      <c r="E56" s="88">
        <f>D56*$D$33</f>
        <v>224.26599999999999</v>
      </c>
      <c r="F56" s="95">
        <v>0.2</v>
      </c>
      <c r="G56" s="88">
        <f>ROUND(F56*$F$33,2)</f>
        <v>231.22</v>
      </c>
      <c r="H56" s="238"/>
    </row>
    <row r="57" spans="1:8" x14ac:dyDescent="0.25">
      <c r="A57" s="262"/>
      <c r="B57" s="127" t="s">
        <v>9</v>
      </c>
      <c r="C57" s="74" t="s">
        <v>34</v>
      </c>
      <c r="D57" s="95">
        <v>1.4999999999999999E-2</v>
      </c>
      <c r="E57" s="88">
        <f t="shared" ref="E57:E63" si="0">D57*$D$33</f>
        <v>16.819949999999999</v>
      </c>
      <c r="F57" s="95">
        <v>1.4999999999999999E-2</v>
      </c>
      <c r="G57" s="88">
        <f>ROUND(F57*$F$33,2)</f>
        <v>17.34</v>
      </c>
    </row>
    <row r="58" spans="1:8" x14ac:dyDescent="0.25">
      <c r="A58" s="262"/>
      <c r="B58" s="127" t="s">
        <v>11</v>
      </c>
      <c r="C58" s="74" t="s">
        <v>35</v>
      </c>
      <c r="D58" s="95">
        <v>0.01</v>
      </c>
      <c r="E58" s="88">
        <f t="shared" si="0"/>
        <v>11.2133</v>
      </c>
      <c r="F58" s="95">
        <v>0.01</v>
      </c>
      <c r="G58" s="88">
        <f t="shared" ref="G58:G63" si="1">ROUND(F58*$F$33,2)</f>
        <v>11.56</v>
      </c>
    </row>
    <row r="59" spans="1:8" x14ac:dyDescent="0.25">
      <c r="A59" s="262"/>
      <c r="B59" s="127" t="s">
        <v>13</v>
      </c>
      <c r="C59" s="74" t="s">
        <v>36</v>
      </c>
      <c r="D59" s="95">
        <v>2E-3</v>
      </c>
      <c r="E59" s="88">
        <f t="shared" si="0"/>
        <v>2.2426599999999999</v>
      </c>
      <c r="F59" s="95">
        <v>2E-3</v>
      </c>
      <c r="G59" s="88">
        <f t="shared" si="1"/>
        <v>2.31</v>
      </c>
    </row>
    <row r="60" spans="1:8" x14ac:dyDescent="0.25">
      <c r="A60" s="262"/>
      <c r="B60" s="127" t="s">
        <v>15</v>
      </c>
      <c r="C60" s="123" t="s">
        <v>37</v>
      </c>
      <c r="D60" s="95">
        <v>2.5000000000000001E-2</v>
      </c>
      <c r="E60" s="88">
        <f t="shared" si="0"/>
        <v>28.033249999999999</v>
      </c>
      <c r="F60" s="95">
        <v>2.5000000000000001E-2</v>
      </c>
      <c r="G60" s="88">
        <f t="shared" si="1"/>
        <v>28.9</v>
      </c>
    </row>
    <row r="61" spans="1:8" x14ac:dyDescent="0.25">
      <c r="A61" s="262"/>
      <c r="B61" s="127" t="s">
        <v>17</v>
      </c>
      <c r="C61" s="74" t="s">
        <v>38</v>
      </c>
      <c r="D61" s="95">
        <v>0.08</v>
      </c>
      <c r="E61" s="88">
        <f t="shared" si="0"/>
        <v>89.706400000000002</v>
      </c>
      <c r="F61" s="95">
        <v>0.08</v>
      </c>
      <c r="G61" s="88">
        <f t="shared" si="1"/>
        <v>92.49</v>
      </c>
    </row>
    <row r="62" spans="1:8" x14ac:dyDescent="0.25">
      <c r="A62" s="262"/>
      <c r="B62" s="127" t="s">
        <v>19</v>
      </c>
      <c r="C62" s="74" t="s">
        <v>90</v>
      </c>
      <c r="D62" s="95">
        <v>1.66E-2</v>
      </c>
      <c r="E62" s="88">
        <f t="shared" si="0"/>
        <v>18.614077999999999</v>
      </c>
      <c r="F62" s="140">
        <v>1.9800000000000002E-2</v>
      </c>
      <c r="G62" s="88">
        <f t="shared" si="1"/>
        <v>22.89</v>
      </c>
    </row>
    <row r="63" spans="1:8" x14ac:dyDescent="0.25">
      <c r="A63" s="262"/>
      <c r="B63" s="127" t="s">
        <v>20</v>
      </c>
      <c r="C63" s="74" t="s">
        <v>39</v>
      </c>
      <c r="D63" s="95">
        <v>6.0000000000000001E-3</v>
      </c>
      <c r="E63" s="88">
        <f t="shared" si="0"/>
        <v>6.7279799999999996</v>
      </c>
      <c r="F63" s="95">
        <v>6.0000000000000001E-3</v>
      </c>
      <c r="G63" s="88">
        <f t="shared" si="1"/>
        <v>6.94</v>
      </c>
    </row>
    <row r="64" spans="1:8" x14ac:dyDescent="0.25">
      <c r="A64" s="262"/>
      <c r="B64" s="312" t="s">
        <v>40</v>
      </c>
      <c r="C64" s="312"/>
      <c r="D64" s="96">
        <f>SUM(D56:D63)</f>
        <v>0.35460000000000008</v>
      </c>
      <c r="E64" s="97">
        <f>SUM(E56:E63)</f>
        <v>397.62361800000002</v>
      </c>
      <c r="F64" s="96">
        <f>SUM(F56:F63)</f>
        <v>0.35780000000000006</v>
      </c>
      <c r="G64" s="97">
        <f>SUM(G56:G63)</f>
        <v>413.65</v>
      </c>
    </row>
    <row r="65" spans="1:8" ht="15" customHeight="1" x14ac:dyDescent="0.25">
      <c r="A65" s="262"/>
      <c r="B65" s="331" t="s">
        <v>250</v>
      </c>
      <c r="C65" s="331"/>
      <c r="D65" s="82"/>
      <c r="E65" s="82"/>
      <c r="F65" s="82"/>
      <c r="G65" s="82"/>
    </row>
    <row r="66" spans="1:8" ht="15" customHeight="1" x14ac:dyDescent="0.25">
      <c r="A66" s="262"/>
      <c r="B66" s="331" t="s">
        <v>251</v>
      </c>
      <c r="C66" s="331"/>
      <c r="D66" s="82"/>
      <c r="E66" s="82"/>
      <c r="F66" s="82"/>
      <c r="G66" s="82"/>
    </row>
    <row r="67" spans="1:8" ht="15" customHeight="1" x14ac:dyDescent="0.25">
      <c r="A67" s="262"/>
      <c r="B67" s="331" t="s">
        <v>252</v>
      </c>
      <c r="C67" s="331"/>
      <c r="D67" s="82"/>
      <c r="E67" s="82"/>
      <c r="F67" s="82"/>
      <c r="G67" s="82"/>
    </row>
    <row r="68" spans="1:8" x14ac:dyDescent="0.25">
      <c r="A68" s="262"/>
      <c r="B68" s="328" t="s">
        <v>83</v>
      </c>
      <c r="C68" s="328"/>
      <c r="D68" s="98"/>
      <c r="E68" s="98"/>
      <c r="F68" s="98"/>
      <c r="G68" s="98"/>
    </row>
    <row r="69" spans="1:8" x14ac:dyDescent="0.25">
      <c r="A69" s="262"/>
      <c r="B69" s="124" t="s">
        <v>41</v>
      </c>
      <c r="C69" s="124" t="s">
        <v>91</v>
      </c>
      <c r="D69" s="124" t="s">
        <v>32</v>
      </c>
      <c r="E69" s="124" t="s">
        <v>6</v>
      </c>
      <c r="F69" s="124" t="s">
        <v>32</v>
      </c>
      <c r="G69" s="124" t="s">
        <v>6</v>
      </c>
    </row>
    <row r="70" spans="1:8" x14ac:dyDescent="0.25">
      <c r="A70" s="262"/>
      <c r="B70" s="127" t="s">
        <v>7</v>
      </c>
      <c r="C70" s="74" t="s">
        <v>42</v>
      </c>
      <c r="D70" s="99">
        <v>8.3299999999999999E-2</v>
      </c>
      <c r="E70" s="88">
        <f>D70*$D$33</f>
        <v>93.406788999999989</v>
      </c>
      <c r="F70" s="99">
        <v>8.3299999999999999E-2</v>
      </c>
      <c r="G70" s="88">
        <f>ROUND(F70*$F$33,2)</f>
        <v>96.3</v>
      </c>
      <c r="H70" s="238"/>
    </row>
    <row r="71" spans="1:8" x14ac:dyDescent="0.25">
      <c r="A71" s="262"/>
      <c r="B71" s="127" t="s">
        <v>9</v>
      </c>
      <c r="C71" s="74" t="s">
        <v>92</v>
      </c>
      <c r="D71" s="99">
        <v>2.7799999999999998E-2</v>
      </c>
      <c r="E71" s="88">
        <f>D71*$D$33</f>
        <v>31.172973999999996</v>
      </c>
      <c r="F71" s="99">
        <v>2.7799999999999998E-2</v>
      </c>
      <c r="G71" s="88">
        <f t="shared" ref="G71" si="2">ROUND(F71*$F$33,2)</f>
        <v>32.14</v>
      </c>
    </row>
    <row r="72" spans="1:8" x14ac:dyDescent="0.25">
      <c r="A72" s="262"/>
      <c r="B72" s="127"/>
      <c r="C72" s="127" t="s">
        <v>43</v>
      </c>
      <c r="D72" s="100">
        <f>SUM(D70:D71)</f>
        <v>0.1111</v>
      </c>
      <c r="E72" s="101">
        <f>SUM(E70:E71)</f>
        <v>124.57976299999999</v>
      </c>
      <c r="F72" s="100">
        <f>SUM(F70:F71)</f>
        <v>0.1111</v>
      </c>
      <c r="G72" s="101">
        <f>SUM(G70:G71)</f>
        <v>128.44</v>
      </c>
    </row>
    <row r="73" spans="1:8" x14ac:dyDescent="0.25">
      <c r="A73" s="262"/>
      <c r="B73" s="127" t="s">
        <v>9</v>
      </c>
      <c r="C73" s="74" t="s">
        <v>267</v>
      </c>
      <c r="D73" s="95">
        <f>D64*D72</f>
        <v>3.9396060000000011E-2</v>
      </c>
      <c r="E73" s="88">
        <f>D73*$D$33</f>
        <v>44.175983959800007</v>
      </c>
      <c r="F73" s="95">
        <f>F64*F72</f>
        <v>3.9751580000000009E-2</v>
      </c>
      <c r="G73" s="88">
        <f>ROUND(F73*$F$33,2)</f>
        <v>45.96</v>
      </c>
    </row>
    <row r="74" spans="1:8" x14ac:dyDescent="0.25">
      <c r="A74" s="262"/>
      <c r="B74" s="353" t="s">
        <v>40</v>
      </c>
      <c r="C74" s="353"/>
      <c r="D74" s="128">
        <f>SUM(D73,D72)</f>
        <v>0.15049606000000001</v>
      </c>
      <c r="E74" s="129">
        <f>SUM(E73,E72)</f>
        <v>168.75574695979998</v>
      </c>
      <c r="F74" s="128">
        <f>SUM(F73,F72)</f>
        <v>0.15085158000000001</v>
      </c>
      <c r="G74" s="129">
        <f>SUM(G73,G72)</f>
        <v>174.4</v>
      </c>
      <c r="H74" s="238"/>
    </row>
    <row r="75" spans="1:8" x14ac:dyDescent="0.25">
      <c r="A75" s="262"/>
      <c r="B75" s="336" t="s">
        <v>44</v>
      </c>
      <c r="C75" s="336"/>
      <c r="D75" s="336"/>
      <c r="E75" s="336"/>
      <c r="F75" s="73"/>
      <c r="G75" s="73"/>
    </row>
    <row r="76" spans="1:8" x14ac:dyDescent="0.25">
      <c r="A76" s="262"/>
      <c r="B76" s="137" t="s">
        <v>45</v>
      </c>
      <c r="C76" s="137" t="s">
        <v>46</v>
      </c>
      <c r="D76" s="137" t="s">
        <v>32</v>
      </c>
      <c r="E76" s="137" t="s">
        <v>6</v>
      </c>
      <c r="F76" s="137" t="s">
        <v>32</v>
      </c>
      <c r="G76" s="137" t="s">
        <v>6</v>
      </c>
    </row>
    <row r="77" spans="1:8" x14ac:dyDescent="0.25">
      <c r="A77" s="262"/>
      <c r="B77" s="131" t="s">
        <v>7</v>
      </c>
      <c r="C77" s="132" t="s">
        <v>111</v>
      </c>
      <c r="D77" s="133">
        <v>7.3999999999999999E-4</v>
      </c>
      <c r="E77" s="134">
        <f>D77*$D$33</f>
        <v>0.82978419999999997</v>
      </c>
      <c r="F77" s="133">
        <v>7.3999999999999999E-4</v>
      </c>
      <c r="G77" s="88">
        <f t="shared" ref="G77" si="3">ROUND(F77*$F$33,2)</f>
        <v>0.86</v>
      </c>
      <c r="H77" s="238"/>
    </row>
    <row r="78" spans="1:8" x14ac:dyDescent="0.25">
      <c r="A78" s="262"/>
      <c r="B78" s="131" t="s">
        <v>9</v>
      </c>
      <c r="C78" s="132" t="s">
        <v>274</v>
      </c>
      <c r="D78" s="135">
        <f>D64*D77</f>
        <v>2.6240400000000004E-4</v>
      </c>
      <c r="E78" s="136">
        <f>D78*$D$33</f>
        <v>0.29424147732000006</v>
      </c>
      <c r="F78" s="135">
        <f>F64*F77</f>
        <v>2.6477200000000003E-4</v>
      </c>
      <c r="G78" s="136">
        <f>ROUND(F78*$F$33,2)</f>
        <v>0.31</v>
      </c>
    </row>
    <row r="79" spans="1:8" x14ac:dyDescent="0.25">
      <c r="A79" s="262"/>
      <c r="B79" s="352" t="s">
        <v>40</v>
      </c>
      <c r="C79" s="352"/>
      <c r="D79" s="138">
        <f>SUM(D78,D77)</f>
        <v>1.0024040000000001E-3</v>
      </c>
      <c r="E79" s="139">
        <f>SUM(E78,E77)</f>
        <v>1.1240256773200001</v>
      </c>
      <c r="F79" s="138">
        <f>SUM(F78,F77)</f>
        <v>1.0047720000000001E-3</v>
      </c>
      <c r="G79" s="139">
        <f>SUM(G78,G77)</f>
        <v>1.17</v>
      </c>
    </row>
    <row r="80" spans="1:8" x14ac:dyDescent="0.25">
      <c r="A80" s="262"/>
      <c r="B80" s="336" t="s">
        <v>86</v>
      </c>
      <c r="C80" s="336"/>
      <c r="D80" s="87"/>
      <c r="E80" s="87"/>
      <c r="F80" s="87"/>
      <c r="G80" s="87"/>
    </row>
    <row r="81" spans="1:8" x14ac:dyDescent="0.25">
      <c r="A81" s="262"/>
      <c r="B81" s="124" t="s">
        <v>47</v>
      </c>
      <c r="C81" s="124" t="s">
        <v>48</v>
      </c>
      <c r="D81" s="124" t="s">
        <v>32</v>
      </c>
      <c r="E81" s="124" t="s">
        <v>6</v>
      </c>
      <c r="F81" s="124" t="s">
        <v>32</v>
      </c>
      <c r="G81" s="124" t="s">
        <v>6</v>
      </c>
    </row>
    <row r="82" spans="1:8" x14ac:dyDescent="0.25">
      <c r="A82" s="262"/>
      <c r="B82" s="127" t="s">
        <v>7</v>
      </c>
      <c r="C82" s="74" t="s">
        <v>49</v>
      </c>
      <c r="D82" s="240">
        <v>4.1999999999999997E-3</v>
      </c>
      <c r="E82" s="88">
        <f>D82*$D$33</f>
        <v>4.7095859999999998</v>
      </c>
      <c r="F82" s="245">
        <f>0.1*D82</f>
        <v>4.2000000000000002E-4</v>
      </c>
      <c r="G82" s="247">
        <f t="shared" ref="G82:G85" si="4">ROUND(F82*$F$33,2)</f>
        <v>0.49</v>
      </c>
      <c r="H82" s="310" t="s">
        <v>372</v>
      </c>
    </row>
    <row r="83" spans="1:8" x14ac:dyDescent="0.25">
      <c r="A83" s="262"/>
      <c r="B83" s="127" t="s">
        <v>9</v>
      </c>
      <c r="C83" s="74" t="s">
        <v>269</v>
      </c>
      <c r="D83" s="240">
        <f>D64*D82</f>
        <v>1.4893200000000004E-3</v>
      </c>
      <c r="E83" s="88">
        <f t="shared" ref="E83:E87" si="5">D83*$D$33</f>
        <v>1.6700191956000003</v>
      </c>
      <c r="F83" s="245">
        <f>F64*F82</f>
        <v>1.5027600000000002E-4</v>
      </c>
      <c r="G83" s="247">
        <f>ROUND(F83*$F$33,2)</f>
        <v>0.17</v>
      </c>
      <c r="H83" s="310"/>
    </row>
    <row r="84" spans="1:8" x14ac:dyDescent="0.25">
      <c r="A84" s="262"/>
      <c r="B84" s="127" t="s">
        <v>11</v>
      </c>
      <c r="C84" s="74" t="s">
        <v>84</v>
      </c>
      <c r="D84" s="240">
        <v>2.0999999999999999E-3</v>
      </c>
      <c r="E84" s="88">
        <f t="shared" si="5"/>
        <v>2.3547929999999999</v>
      </c>
      <c r="F84" s="240">
        <v>2.0999999999999999E-3</v>
      </c>
      <c r="G84" s="88">
        <f>ROUND(F84*$F$33,2)</f>
        <v>2.4300000000000002</v>
      </c>
    </row>
    <row r="85" spans="1:8" x14ac:dyDescent="0.25">
      <c r="A85" s="262"/>
      <c r="B85" s="127" t="s">
        <v>13</v>
      </c>
      <c r="C85" s="74" t="s">
        <v>50</v>
      </c>
      <c r="D85" s="99">
        <v>1.9400000000000001E-2</v>
      </c>
      <c r="E85" s="88">
        <f t="shared" si="5"/>
        <v>21.753802</v>
      </c>
      <c r="F85" s="245">
        <f>0.1*D85</f>
        <v>1.9400000000000001E-3</v>
      </c>
      <c r="G85" s="247">
        <f t="shared" si="4"/>
        <v>2.2400000000000002</v>
      </c>
      <c r="H85" s="310" t="s">
        <v>372</v>
      </c>
    </row>
    <row r="86" spans="1:8" x14ac:dyDescent="0.25">
      <c r="A86" s="262"/>
      <c r="B86" s="127" t="s">
        <v>15</v>
      </c>
      <c r="C86" s="74" t="s">
        <v>270</v>
      </c>
      <c r="D86" s="95">
        <f>D64*D85</f>
        <v>6.8792400000000017E-3</v>
      </c>
      <c r="E86" s="88">
        <f t="shared" si="5"/>
        <v>7.7138981892000018</v>
      </c>
      <c r="F86" s="245">
        <f>F64*F85</f>
        <v>6.9413200000000019E-4</v>
      </c>
      <c r="G86" s="247">
        <f>F86*$F$33</f>
        <v>0.80247906388000012</v>
      </c>
      <c r="H86" s="310"/>
    </row>
    <row r="87" spans="1:8" x14ac:dyDescent="0.25">
      <c r="A87" s="262"/>
      <c r="B87" s="127" t="s">
        <v>17</v>
      </c>
      <c r="C87" s="80" t="s">
        <v>85</v>
      </c>
      <c r="D87" s="95">
        <v>9.7000000000000003E-3</v>
      </c>
      <c r="E87" s="88">
        <f t="shared" si="5"/>
        <v>10.876901</v>
      </c>
      <c r="F87" s="95">
        <v>9.7000000000000003E-3</v>
      </c>
      <c r="G87" s="88">
        <f>ROUND(F87*$F$33,2)</f>
        <v>11.21</v>
      </c>
    </row>
    <row r="88" spans="1:8" x14ac:dyDescent="0.25">
      <c r="A88" s="262"/>
      <c r="B88" s="312" t="s">
        <v>51</v>
      </c>
      <c r="C88" s="312"/>
      <c r="D88" s="96">
        <f>SUM(D82:D87)</f>
        <v>4.3768560000000005E-2</v>
      </c>
      <c r="E88" s="89">
        <f>SUM(E82:E87)</f>
        <v>49.078999384799999</v>
      </c>
      <c r="F88" s="96">
        <f>SUM(F82:F87)</f>
        <v>1.5004408E-2</v>
      </c>
      <c r="G88" s="89">
        <f>SUM(G82:G87)</f>
        <v>17.342479063879999</v>
      </c>
    </row>
    <row r="89" spans="1:8" x14ac:dyDescent="0.25">
      <c r="A89" s="262"/>
      <c r="B89" s="336" t="s">
        <v>52</v>
      </c>
      <c r="C89" s="336"/>
      <c r="D89" s="87"/>
      <c r="E89" s="87"/>
      <c r="F89" s="87"/>
      <c r="G89" s="87"/>
    </row>
    <row r="90" spans="1:8" x14ac:dyDescent="0.25">
      <c r="A90" s="262"/>
      <c r="B90" s="124" t="s">
        <v>53</v>
      </c>
      <c r="C90" s="124" t="s">
        <v>54</v>
      </c>
      <c r="D90" s="124" t="s">
        <v>32</v>
      </c>
      <c r="E90" s="124" t="s">
        <v>6</v>
      </c>
      <c r="F90" s="124" t="s">
        <v>32</v>
      </c>
      <c r="G90" s="124" t="s">
        <v>6</v>
      </c>
    </row>
    <row r="91" spans="1:8" x14ac:dyDescent="0.25">
      <c r="A91" s="262"/>
      <c r="B91" s="127" t="s">
        <v>7</v>
      </c>
      <c r="C91" s="74" t="s">
        <v>229</v>
      </c>
      <c r="D91" s="240">
        <v>0.1111</v>
      </c>
      <c r="E91" s="88">
        <f>D91*$D$33</f>
        <v>124.579763</v>
      </c>
      <c r="F91" s="240">
        <v>0.1111</v>
      </c>
      <c r="G91" s="88">
        <f>ROUND(F91*$F$33,2)</f>
        <v>128.44</v>
      </c>
      <c r="H91" s="238"/>
    </row>
    <row r="92" spans="1:8" x14ac:dyDescent="0.25">
      <c r="A92" s="262"/>
      <c r="B92" s="127" t="s">
        <v>9</v>
      </c>
      <c r="C92" s="74" t="s">
        <v>55</v>
      </c>
      <c r="D92" s="240">
        <v>1.3899999999999999E-2</v>
      </c>
      <c r="E92" s="88">
        <f t="shared" ref="E92:E95" si="6">D92*$D$33</f>
        <v>15.586486999999998</v>
      </c>
      <c r="F92" s="240">
        <v>1.3899999999999999E-2</v>
      </c>
      <c r="G92" s="88">
        <f t="shared" ref="G92:G95" si="7">ROUND(F92*$F$33,2)</f>
        <v>16.07</v>
      </c>
    </row>
    <row r="93" spans="1:8" x14ac:dyDescent="0.25">
      <c r="A93" s="262"/>
      <c r="B93" s="127" t="s">
        <v>11</v>
      </c>
      <c r="C93" s="74" t="s">
        <v>230</v>
      </c>
      <c r="D93" s="241">
        <v>2.0000000000000001E-4</v>
      </c>
      <c r="E93" s="88">
        <f t="shared" si="6"/>
        <v>0.22426599999999999</v>
      </c>
      <c r="F93" s="241">
        <v>2.0000000000000001E-4</v>
      </c>
      <c r="G93" s="88">
        <f t="shared" si="7"/>
        <v>0.23</v>
      </c>
    </row>
    <row r="94" spans="1:8" x14ac:dyDescent="0.25">
      <c r="A94" s="262"/>
      <c r="B94" s="127" t="s">
        <v>13</v>
      </c>
      <c r="C94" s="74" t="s">
        <v>56</v>
      </c>
      <c r="D94" s="241">
        <v>2.8E-3</v>
      </c>
      <c r="E94" s="88">
        <f t="shared" si="6"/>
        <v>3.1397239999999997</v>
      </c>
      <c r="F94" s="241">
        <v>2.8E-3</v>
      </c>
      <c r="G94" s="88">
        <f t="shared" si="7"/>
        <v>3.24</v>
      </c>
    </row>
    <row r="95" spans="1:8" x14ac:dyDescent="0.25">
      <c r="A95" s="262"/>
      <c r="B95" s="127" t="s">
        <v>15</v>
      </c>
      <c r="C95" s="74" t="s">
        <v>57</v>
      </c>
      <c r="D95" s="240">
        <v>3.3E-3</v>
      </c>
      <c r="E95" s="88">
        <f t="shared" si="6"/>
        <v>3.7003889999999999</v>
      </c>
      <c r="F95" s="240">
        <v>3.3E-3</v>
      </c>
      <c r="G95" s="88">
        <f t="shared" si="7"/>
        <v>3.82</v>
      </c>
    </row>
    <row r="96" spans="1:8" x14ac:dyDescent="0.25">
      <c r="A96" s="262"/>
      <c r="B96" s="127" t="s">
        <v>17</v>
      </c>
      <c r="C96" s="74" t="s">
        <v>21</v>
      </c>
      <c r="D96" s="99"/>
      <c r="E96" s="88"/>
      <c r="F96" s="99"/>
      <c r="G96" s="88"/>
    </row>
    <row r="97" spans="1:8" x14ac:dyDescent="0.25">
      <c r="A97" s="262"/>
      <c r="B97" s="127"/>
      <c r="C97" s="79" t="s">
        <v>43</v>
      </c>
      <c r="D97" s="112">
        <f>SUM(D91:D96)</f>
        <v>0.1313</v>
      </c>
      <c r="E97" s="103">
        <f>SUM(E91:E96)</f>
        <v>147.23062899999999</v>
      </c>
      <c r="F97" s="112">
        <f>SUM(F91:F96)</f>
        <v>0.1313</v>
      </c>
      <c r="G97" s="103">
        <f>SUM(G91:G96)</f>
        <v>151.79999999999998</v>
      </c>
    </row>
    <row r="98" spans="1:8" x14ac:dyDescent="0.25">
      <c r="A98" s="262"/>
      <c r="B98" s="127" t="s">
        <v>17</v>
      </c>
      <c r="C98" s="74" t="s">
        <v>266</v>
      </c>
      <c r="D98" s="240">
        <f>D64*D97</f>
        <v>4.6558980000000014E-2</v>
      </c>
      <c r="E98" s="88">
        <f>D98*$D$33</f>
        <v>52.207981043400011</v>
      </c>
      <c r="F98" s="240">
        <f>F64*F97</f>
        <v>4.697914000000001E-2</v>
      </c>
      <c r="G98" s="88">
        <f>ROUND(F98*$F$33,2)</f>
        <v>54.31</v>
      </c>
    </row>
    <row r="99" spans="1:8" x14ac:dyDescent="0.25">
      <c r="A99" s="262"/>
      <c r="B99" s="330" t="s">
        <v>51</v>
      </c>
      <c r="C99" s="330"/>
      <c r="D99" s="96">
        <f>SUM(D97:D98)</f>
        <v>0.17785898</v>
      </c>
      <c r="E99" s="89">
        <f>SUM(E97:E98)</f>
        <v>199.43861004339999</v>
      </c>
      <c r="F99" s="96">
        <f>SUM(F97:F98)</f>
        <v>0.17827914</v>
      </c>
      <c r="G99" s="89">
        <f>SUM(G97:G98)</f>
        <v>206.10999999999999</v>
      </c>
    </row>
    <row r="100" spans="1:8" x14ac:dyDescent="0.25">
      <c r="A100" s="262"/>
      <c r="B100" s="322"/>
      <c r="C100" s="322"/>
      <c r="D100" s="73"/>
      <c r="E100" s="73"/>
      <c r="F100" s="73"/>
      <c r="G100" s="73"/>
    </row>
    <row r="101" spans="1:8" x14ac:dyDescent="0.25">
      <c r="A101" s="262"/>
      <c r="B101" s="311" t="s">
        <v>58</v>
      </c>
      <c r="C101" s="311"/>
      <c r="D101" s="87"/>
      <c r="E101" s="73"/>
      <c r="F101" s="87"/>
      <c r="G101" s="73"/>
    </row>
    <row r="102" spans="1:8" x14ac:dyDescent="0.25">
      <c r="A102" s="262"/>
      <c r="B102" s="350"/>
      <c r="C102" s="350"/>
      <c r="D102" s="73"/>
      <c r="E102" s="73"/>
      <c r="F102" s="73"/>
      <c r="G102" s="73"/>
    </row>
    <row r="103" spans="1:8" x14ac:dyDescent="0.25">
      <c r="A103" s="262"/>
      <c r="B103" s="124">
        <v>4</v>
      </c>
      <c r="C103" s="124" t="s">
        <v>59</v>
      </c>
      <c r="D103" s="124" t="s">
        <v>6</v>
      </c>
      <c r="E103" s="73"/>
      <c r="F103" s="124" t="s">
        <v>6</v>
      </c>
      <c r="G103" s="73"/>
    </row>
    <row r="104" spans="1:8" x14ac:dyDescent="0.25">
      <c r="A104" s="262"/>
      <c r="B104" s="127" t="s">
        <v>30</v>
      </c>
      <c r="C104" s="74" t="s">
        <v>93</v>
      </c>
      <c r="D104" s="122">
        <f>E64</f>
        <v>397.62361800000002</v>
      </c>
      <c r="E104" s="73"/>
      <c r="F104" s="122">
        <f>G64</f>
        <v>413.65</v>
      </c>
      <c r="G104" s="73"/>
      <c r="H104" s="238"/>
    </row>
    <row r="105" spans="1:8" x14ac:dyDescent="0.25">
      <c r="A105" s="262"/>
      <c r="B105" s="127" t="s">
        <v>41</v>
      </c>
      <c r="C105" s="74" t="s">
        <v>94</v>
      </c>
      <c r="D105" s="122">
        <f>E74</f>
        <v>168.75574695979998</v>
      </c>
      <c r="E105" s="73"/>
      <c r="F105" s="122">
        <f>G74</f>
        <v>174.4</v>
      </c>
      <c r="G105" s="73"/>
    </row>
    <row r="106" spans="1:8" x14ac:dyDescent="0.25">
      <c r="A106" s="262"/>
      <c r="B106" s="127" t="s">
        <v>45</v>
      </c>
      <c r="C106" s="74" t="s">
        <v>46</v>
      </c>
      <c r="D106" s="122">
        <f>E79</f>
        <v>1.1240256773200001</v>
      </c>
      <c r="E106" s="73"/>
      <c r="F106" s="122">
        <f>G79</f>
        <v>1.17</v>
      </c>
      <c r="G106" s="73"/>
    </row>
    <row r="107" spans="1:8" x14ac:dyDescent="0.25">
      <c r="A107" s="262"/>
      <c r="B107" s="127" t="s">
        <v>47</v>
      </c>
      <c r="C107" s="74" t="s">
        <v>60</v>
      </c>
      <c r="D107" s="122">
        <f>E88</f>
        <v>49.078999384799999</v>
      </c>
      <c r="E107" s="73"/>
      <c r="F107" s="122">
        <f>G88</f>
        <v>17.342479063879999</v>
      </c>
      <c r="G107" s="73"/>
    </row>
    <row r="108" spans="1:8" x14ac:dyDescent="0.25">
      <c r="A108" s="262"/>
      <c r="B108" s="127" t="s">
        <v>53</v>
      </c>
      <c r="C108" s="74" t="s">
        <v>61</v>
      </c>
      <c r="D108" s="122">
        <f>E99</f>
        <v>199.43861004339999</v>
      </c>
      <c r="E108" s="73"/>
      <c r="F108" s="122">
        <f>G99</f>
        <v>206.10999999999999</v>
      </c>
      <c r="G108" s="73"/>
    </row>
    <row r="109" spans="1:8" x14ac:dyDescent="0.25">
      <c r="A109" s="262"/>
      <c r="B109" s="127" t="s">
        <v>62</v>
      </c>
      <c r="C109" s="74" t="s">
        <v>63</v>
      </c>
      <c r="D109" s="123"/>
      <c r="E109" s="73"/>
      <c r="F109" s="123"/>
      <c r="G109" s="73"/>
    </row>
    <row r="110" spans="1:8" x14ac:dyDescent="0.25">
      <c r="A110" s="262"/>
      <c r="B110" s="330" t="s">
        <v>51</v>
      </c>
      <c r="C110" s="330"/>
      <c r="D110" s="105">
        <f>SUM(D104:D109)</f>
        <v>816.02100006531998</v>
      </c>
      <c r="E110" s="73"/>
      <c r="F110" s="105">
        <f>SUM(F104:F109)</f>
        <v>812.6724790638799</v>
      </c>
      <c r="G110" s="73"/>
    </row>
    <row r="111" spans="1:8" ht="15" customHeight="1" x14ac:dyDescent="0.25">
      <c r="A111" s="262"/>
      <c r="B111" s="331" t="s">
        <v>264</v>
      </c>
      <c r="C111" s="331"/>
      <c r="D111" s="82"/>
      <c r="E111" s="82"/>
      <c r="F111" s="82"/>
      <c r="G111" s="82"/>
    </row>
    <row r="112" spans="1:8" ht="15" customHeight="1" x14ac:dyDescent="0.25">
      <c r="A112" s="262"/>
      <c r="B112" s="331" t="s">
        <v>265</v>
      </c>
      <c r="C112" s="331"/>
      <c r="D112" s="82"/>
      <c r="E112" s="82"/>
      <c r="F112" s="82"/>
      <c r="G112" s="82"/>
    </row>
    <row r="113" spans="1:7" x14ac:dyDescent="0.25">
      <c r="A113" s="262"/>
      <c r="B113" s="335"/>
      <c r="C113" s="335"/>
      <c r="D113" s="77"/>
      <c r="E113" s="77"/>
      <c r="F113" s="77"/>
      <c r="G113" s="77"/>
    </row>
    <row r="114" spans="1:7" x14ac:dyDescent="0.25">
      <c r="A114" s="262"/>
      <c r="B114" s="311" t="s">
        <v>64</v>
      </c>
      <c r="C114" s="311"/>
      <c r="D114" s="87"/>
      <c r="E114" s="87"/>
      <c r="F114" s="87"/>
      <c r="G114" s="87"/>
    </row>
    <row r="115" spans="1:7" x14ac:dyDescent="0.25">
      <c r="B115" s="124">
        <v>5</v>
      </c>
      <c r="C115" s="124" t="s">
        <v>65</v>
      </c>
      <c r="D115" s="124" t="s">
        <v>32</v>
      </c>
      <c r="E115" s="124" t="s">
        <v>6</v>
      </c>
      <c r="F115" s="124" t="s">
        <v>32</v>
      </c>
      <c r="G115" s="124" t="s">
        <v>6</v>
      </c>
    </row>
    <row r="116" spans="1:7" x14ac:dyDescent="0.25">
      <c r="B116" s="127" t="s">
        <v>7</v>
      </c>
      <c r="C116" s="74" t="s">
        <v>66</v>
      </c>
      <c r="D116" s="100">
        <v>0.01</v>
      </c>
      <c r="E116" s="106">
        <f>SUM(D33+D43+D51+D110)*D116</f>
        <v>28.034962833986533</v>
      </c>
      <c r="F116" s="100">
        <v>0.01</v>
      </c>
      <c r="G116" s="106">
        <f>ROUND(SUM(F33+F43+F51+F110)*F116,2)</f>
        <v>28.79</v>
      </c>
    </row>
    <row r="117" spans="1:7" x14ac:dyDescent="0.25">
      <c r="B117" s="127" t="s">
        <v>9</v>
      </c>
      <c r="C117" s="76" t="s">
        <v>67</v>
      </c>
      <c r="D117" s="112">
        <v>0.14249999999999999</v>
      </c>
      <c r="E117" s="106"/>
      <c r="F117" s="112">
        <v>0.14249999999999999</v>
      </c>
      <c r="G117" s="106"/>
    </row>
    <row r="118" spans="1:7" x14ac:dyDescent="0.25">
      <c r="B118" s="127"/>
      <c r="C118" s="74" t="s">
        <v>259</v>
      </c>
      <c r="D118" s="100">
        <v>9.2499999999999999E-2</v>
      </c>
      <c r="E118" s="106">
        <f>ROUND((($D$134+$E$116+$E$122)*$D$118)/(1-$D$117),2)</f>
        <v>314.27</v>
      </c>
      <c r="F118" s="100">
        <v>9.2499999999999999E-2</v>
      </c>
      <c r="G118" s="120">
        <f>ROUND((($F$134+$G$116+$G$122)*$F$118)/(1-$F$117),2)</f>
        <v>322.75</v>
      </c>
    </row>
    <row r="119" spans="1:7" x14ac:dyDescent="0.25">
      <c r="B119" s="127"/>
      <c r="C119" s="74" t="s">
        <v>260</v>
      </c>
      <c r="D119" s="107">
        <v>0.05</v>
      </c>
      <c r="E119" s="106">
        <f>ROUND((($D$134+$E$116+$E$122)*$D$119)/(1-$D$117),2)</f>
        <v>169.88</v>
      </c>
      <c r="F119" s="107">
        <v>0.05</v>
      </c>
      <c r="G119" s="120">
        <f>ROUND((($F$134+$G$116+$G$122)*$F$119)/(1-$D$117),2)</f>
        <v>174.46</v>
      </c>
    </row>
    <row r="120" spans="1:7" x14ac:dyDescent="0.25">
      <c r="B120" s="127"/>
      <c r="C120" s="74" t="s">
        <v>261</v>
      </c>
      <c r="D120" s="95"/>
      <c r="E120" s="106"/>
      <c r="F120" s="95"/>
      <c r="G120" s="106"/>
    </row>
    <row r="121" spans="1:7" x14ac:dyDescent="0.25">
      <c r="B121" s="127"/>
      <c r="C121" s="74" t="s">
        <v>262</v>
      </c>
      <c r="D121" s="95"/>
      <c r="E121" s="106"/>
      <c r="F121" s="95"/>
      <c r="G121" s="106"/>
    </row>
    <row r="122" spans="1:7" x14ac:dyDescent="0.25">
      <c r="B122" s="127" t="s">
        <v>11</v>
      </c>
      <c r="C122" s="74" t="s">
        <v>263</v>
      </c>
      <c r="D122" s="108">
        <v>2.8899999999999999E-2</v>
      </c>
      <c r="E122" s="106">
        <f>SUM(E116+D110+D51+D43+D33)*D122</f>
        <v>81.831253016123284</v>
      </c>
      <c r="F122" s="108">
        <v>2.8899999999999999E-2</v>
      </c>
      <c r="G122" s="106">
        <f>ROUND(SUM(G116+F110+F51+F43+F33)*F122,2)</f>
        <v>84.04</v>
      </c>
    </row>
    <row r="123" spans="1:7" x14ac:dyDescent="0.25">
      <c r="B123" s="330" t="s">
        <v>40</v>
      </c>
      <c r="C123" s="330"/>
      <c r="D123" s="85"/>
      <c r="E123" s="105">
        <f>SUM(E116:E122)</f>
        <v>594.01621585010969</v>
      </c>
      <c r="F123" s="85"/>
      <c r="G123" s="105">
        <f>SUM(G116:G122)</f>
        <v>610.04</v>
      </c>
    </row>
    <row r="124" spans="1:7" x14ac:dyDescent="0.25">
      <c r="B124" s="323" t="s">
        <v>248</v>
      </c>
      <c r="C124" s="323"/>
      <c r="D124" s="87"/>
      <c r="E124" s="87"/>
      <c r="F124" s="87"/>
      <c r="G124" s="87"/>
    </row>
    <row r="125" spans="1:7" x14ac:dyDescent="0.25">
      <c r="B125" s="323" t="s">
        <v>249</v>
      </c>
      <c r="C125" s="323"/>
      <c r="D125" s="87"/>
      <c r="E125" s="87"/>
      <c r="F125" s="87"/>
      <c r="G125" s="87"/>
    </row>
    <row r="126" spans="1:7" x14ac:dyDescent="0.25">
      <c r="B126" s="322" t="s">
        <v>95</v>
      </c>
      <c r="C126" s="322"/>
      <c r="D126" s="109" t="s">
        <v>239</v>
      </c>
      <c r="E126" s="109">
        <f>1-0.1425</f>
        <v>0.85750000000000004</v>
      </c>
      <c r="F126" s="109" t="s">
        <v>239</v>
      </c>
      <c r="G126" s="109">
        <f>1-0.1425</f>
        <v>0.85750000000000004</v>
      </c>
    </row>
    <row r="127" spans="1:7" x14ac:dyDescent="0.25">
      <c r="B127" s="311" t="s">
        <v>68</v>
      </c>
      <c r="C127" s="311"/>
      <c r="D127" s="87"/>
      <c r="E127" s="87"/>
      <c r="F127" s="87"/>
      <c r="G127" s="87"/>
    </row>
    <row r="128" spans="1:7" x14ac:dyDescent="0.25">
      <c r="B128" s="311"/>
      <c r="C128" s="311"/>
      <c r="D128" s="73"/>
      <c r="E128" s="73"/>
      <c r="F128" s="73"/>
      <c r="G128" s="73"/>
    </row>
    <row r="129" spans="2:7" ht="15" customHeight="1" x14ac:dyDescent="0.25">
      <c r="B129" s="312" t="s">
        <v>69</v>
      </c>
      <c r="C129" s="312"/>
      <c r="D129" s="312" t="s">
        <v>70</v>
      </c>
      <c r="E129" s="312"/>
      <c r="F129" s="312" t="s">
        <v>70</v>
      </c>
      <c r="G129" s="312"/>
    </row>
    <row r="130" spans="2:7" x14ac:dyDescent="0.25">
      <c r="B130" s="127" t="s">
        <v>7</v>
      </c>
      <c r="C130" s="74" t="s">
        <v>254</v>
      </c>
      <c r="D130" s="315">
        <f>D33</f>
        <v>1121.33</v>
      </c>
      <c r="E130" s="316"/>
      <c r="F130" s="315">
        <f>F33</f>
        <v>1156.0899999999999</v>
      </c>
      <c r="G130" s="316"/>
    </row>
    <row r="131" spans="2:7" x14ac:dyDescent="0.25">
      <c r="B131" s="127" t="s">
        <v>9</v>
      </c>
      <c r="C131" s="74" t="s">
        <v>255</v>
      </c>
      <c r="D131" s="315">
        <f>D43</f>
        <v>787.47194999999999</v>
      </c>
      <c r="E131" s="316"/>
      <c r="F131" s="315">
        <f>F43</f>
        <v>831.75934999999993</v>
      </c>
      <c r="G131" s="316"/>
    </row>
    <row r="132" spans="2:7" x14ac:dyDescent="0.25">
      <c r="B132" s="127" t="s">
        <v>11</v>
      </c>
      <c r="C132" s="74" t="s">
        <v>256</v>
      </c>
      <c r="D132" s="315">
        <f>D51</f>
        <v>78.673333333333332</v>
      </c>
      <c r="E132" s="316"/>
      <c r="F132" s="315">
        <f>F51</f>
        <v>78.673333333333332</v>
      </c>
      <c r="G132" s="316"/>
    </row>
    <row r="133" spans="2:7" x14ac:dyDescent="0.25">
      <c r="B133" s="127" t="s">
        <v>13</v>
      </c>
      <c r="C133" s="74" t="s">
        <v>257</v>
      </c>
      <c r="D133" s="315">
        <f>D110</f>
        <v>816.02100006531998</v>
      </c>
      <c r="E133" s="316"/>
      <c r="F133" s="315">
        <f>F110</f>
        <v>812.6724790638799</v>
      </c>
      <c r="G133" s="316"/>
    </row>
    <row r="134" spans="2:7" ht="15" customHeight="1" x14ac:dyDescent="0.25">
      <c r="B134" s="317" t="s">
        <v>71</v>
      </c>
      <c r="C134" s="317"/>
      <c r="D134" s="318">
        <f>SUM(D130:D133)</f>
        <v>2803.4962833986533</v>
      </c>
      <c r="E134" s="319"/>
      <c r="F134" s="318">
        <f>SUM(F130:F133)</f>
        <v>2879.1951623972132</v>
      </c>
      <c r="G134" s="319"/>
    </row>
    <row r="135" spans="2:7" x14ac:dyDescent="0.25">
      <c r="B135" s="127" t="s">
        <v>15</v>
      </c>
      <c r="C135" s="74" t="s">
        <v>258</v>
      </c>
      <c r="D135" s="320">
        <f>E123</f>
        <v>594.01621585010969</v>
      </c>
      <c r="E135" s="321"/>
      <c r="F135" s="320">
        <f>G123</f>
        <v>610.04</v>
      </c>
      <c r="G135" s="321"/>
    </row>
    <row r="136" spans="2:7" ht="15" customHeight="1" x14ac:dyDescent="0.25">
      <c r="B136" s="312" t="s">
        <v>72</v>
      </c>
      <c r="C136" s="312"/>
      <c r="D136" s="313">
        <f>SUM(D134:D135)</f>
        <v>3397.5124992487631</v>
      </c>
      <c r="E136" s="314"/>
      <c r="F136" s="348">
        <f>SUM(F134:F135)</f>
        <v>3489.2351623972131</v>
      </c>
      <c r="G136" s="349"/>
    </row>
  </sheetData>
  <mergeCells count="80">
    <mergeCell ref="H85:H86"/>
    <mergeCell ref="F135:G135"/>
    <mergeCell ref="B136:C136"/>
    <mergeCell ref="D136:E136"/>
    <mergeCell ref="F136:G136"/>
    <mergeCell ref="F132:G132"/>
    <mergeCell ref="D133:E133"/>
    <mergeCell ref="F133:G133"/>
    <mergeCell ref="B134:C134"/>
    <mergeCell ref="D134:E134"/>
    <mergeCell ref="F134:G134"/>
    <mergeCell ref="D132:E132"/>
    <mergeCell ref="D135:E135"/>
    <mergeCell ref="D129:E129"/>
    <mergeCell ref="F129:G129"/>
    <mergeCell ref="D130:E130"/>
    <mergeCell ref="F130:G130"/>
    <mergeCell ref="D131:E131"/>
    <mergeCell ref="F131:G131"/>
    <mergeCell ref="B125:C125"/>
    <mergeCell ref="B126:C126"/>
    <mergeCell ref="B127:C127"/>
    <mergeCell ref="B128:C128"/>
    <mergeCell ref="B129:C129"/>
    <mergeCell ref="B113:C113"/>
    <mergeCell ref="B114:C114"/>
    <mergeCell ref="B123:C123"/>
    <mergeCell ref="B124:C124"/>
    <mergeCell ref="B110:C110"/>
    <mergeCell ref="B112:C112"/>
    <mergeCell ref="B89:C89"/>
    <mergeCell ref="B99:C99"/>
    <mergeCell ref="B100:C100"/>
    <mergeCell ref="B101:C101"/>
    <mergeCell ref="B102:C102"/>
    <mergeCell ref="F1:G1"/>
    <mergeCell ref="B2:C3"/>
    <mergeCell ref="D2:E8"/>
    <mergeCell ref="F2:G8"/>
    <mergeCell ref="B4:C4"/>
    <mergeCell ref="B7:C7"/>
    <mergeCell ref="B8:C8"/>
    <mergeCell ref="B5:C5"/>
    <mergeCell ref="B111:C111"/>
    <mergeCell ref="F12:G12"/>
    <mergeCell ref="B33:C33"/>
    <mergeCell ref="B34:C34"/>
    <mergeCell ref="B43:C43"/>
    <mergeCell ref="B44:C44"/>
    <mergeCell ref="B45:C45"/>
    <mergeCell ref="B51:C51"/>
    <mergeCell ref="B52:C52"/>
    <mergeCell ref="B53:C53"/>
    <mergeCell ref="B54:C54"/>
    <mergeCell ref="B64:C64"/>
    <mergeCell ref="B66:C66"/>
    <mergeCell ref="B67:C67"/>
    <mergeCell ref="B68:C68"/>
    <mergeCell ref="B88:C88"/>
    <mergeCell ref="B80:C80"/>
    <mergeCell ref="F9:G10"/>
    <mergeCell ref="D11:E11"/>
    <mergeCell ref="F11:G11"/>
    <mergeCell ref="D12:E12"/>
    <mergeCell ref="H82:H83"/>
    <mergeCell ref="A1:A114"/>
    <mergeCell ref="B1:C1"/>
    <mergeCell ref="D1:E1"/>
    <mergeCell ref="D9:E10"/>
    <mergeCell ref="B13:C13"/>
    <mergeCell ref="B14:C14"/>
    <mergeCell ref="B15:C15"/>
    <mergeCell ref="B16:C16"/>
    <mergeCell ref="B17:C17"/>
    <mergeCell ref="B18:C18"/>
    <mergeCell ref="B23:C23"/>
    <mergeCell ref="B65:C65"/>
    <mergeCell ref="B74:C74"/>
    <mergeCell ref="B75:E75"/>
    <mergeCell ref="B79:C79"/>
  </mergeCells>
  <printOptions horizontalCentered="1"/>
  <pageMargins left="0.9055118110236221" right="0.78740157480314965" top="1.7716535433070868" bottom="0.98425196850393704" header="0.31496062992125984" footer="0.31496062992125984"/>
  <pageSetup paperSize="9" scale="52" orientation="portrait"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36"/>
  <sheetViews>
    <sheetView view="pageBreakPreview" topLeftCell="A79" zoomScaleNormal="100" zoomScaleSheetLayoutView="100" workbookViewId="0">
      <selection activeCell="I81" sqref="I81"/>
    </sheetView>
  </sheetViews>
  <sheetFormatPr defaultRowHeight="15" x14ac:dyDescent="0.25"/>
  <cols>
    <col min="1" max="1" width="6.85546875" customWidth="1"/>
    <col min="2" max="2" width="12.5703125" customWidth="1"/>
    <col min="3" max="3" width="70.5703125" customWidth="1"/>
    <col min="4" max="4" width="13.5703125" customWidth="1"/>
    <col min="5" max="5" width="17.7109375" customWidth="1"/>
    <col min="6" max="6" width="12.42578125" customWidth="1"/>
    <col min="7" max="7" width="16.42578125" customWidth="1"/>
    <col min="8" max="8" width="11.28515625" customWidth="1"/>
  </cols>
  <sheetData>
    <row r="1" spans="1:7" x14ac:dyDescent="0.25">
      <c r="A1" s="262"/>
      <c r="B1" s="351"/>
      <c r="C1" s="351"/>
      <c r="D1" s="351"/>
      <c r="E1" s="351"/>
      <c r="F1" s="351"/>
      <c r="G1" s="351"/>
    </row>
    <row r="2" spans="1:7" ht="15" customHeight="1" x14ac:dyDescent="0.25">
      <c r="A2" s="262"/>
      <c r="B2" s="329" t="s">
        <v>273</v>
      </c>
      <c r="C2" s="329"/>
      <c r="D2" s="339"/>
      <c r="E2" s="339"/>
      <c r="F2" s="339"/>
      <c r="G2" s="339"/>
    </row>
    <row r="3" spans="1:7" x14ac:dyDescent="0.25">
      <c r="A3" s="262"/>
      <c r="B3" s="329"/>
      <c r="C3" s="329"/>
      <c r="D3" s="339"/>
      <c r="E3" s="339"/>
      <c r="F3" s="339"/>
      <c r="G3" s="339"/>
    </row>
    <row r="4" spans="1:7" x14ac:dyDescent="0.25">
      <c r="A4" s="262"/>
      <c r="B4" s="332"/>
      <c r="C4" s="332"/>
      <c r="D4" s="339"/>
      <c r="E4" s="339"/>
      <c r="F4" s="339"/>
      <c r="G4" s="339"/>
    </row>
    <row r="5" spans="1:7" ht="15" customHeight="1" x14ac:dyDescent="0.25">
      <c r="A5" s="262"/>
      <c r="B5" s="324" t="s">
        <v>113</v>
      </c>
      <c r="C5" s="324"/>
      <c r="D5" s="339"/>
      <c r="E5" s="339"/>
      <c r="F5" s="339"/>
      <c r="G5" s="339"/>
    </row>
    <row r="6" spans="1:7" x14ac:dyDescent="0.25">
      <c r="A6" s="262"/>
      <c r="B6" s="76" t="s">
        <v>73</v>
      </c>
      <c r="C6" s="76" t="s">
        <v>112</v>
      </c>
      <c r="D6" s="339"/>
      <c r="E6" s="339"/>
      <c r="F6" s="339"/>
      <c r="G6" s="339"/>
    </row>
    <row r="7" spans="1:7" x14ac:dyDescent="0.25">
      <c r="A7" s="262"/>
      <c r="B7" s="332"/>
      <c r="C7" s="332"/>
      <c r="D7" s="339"/>
      <c r="E7" s="339"/>
      <c r="F7" s="339"/>
      <c r="G7" s="339"/>
    </row>
    <row r="8" spans="1:7" x14ac:dyDescent="0.25">
      <c r="A8" s="262"/>
      <c r="B8" s="311" t="s">
        <v>74</v>
      </c>
      <c r="C8" s="311"/>
      <c r="D8" s="339"/>
      <c r="E8" s="339"/>
      <c r="F8" s="339"/>
      <c r="G8" s="339"/>
    </row>
    <row r="9" spans="1:7" x14ac:dyDescent="0.25">
      <c r="A9" s="262"/>
      <c r="B9" s="127" t="s">
        <v>7</v>
      </c>
      <c r="C9" s="74" t="s">
        <v>236</v>
      </c>
      <c r="D9" s="333">
        <v>42815</v>
      </c>
      <c r="E9" s="333"/>
      <c r="F9" s="337">
        <v>43192</v>
      </c>
      <c r="G9" s="337"/>
    </row>
    <row r="10" spans="1:7" x14ac:dyDescent="0.25">
      <c r="A10" s="262"/>
      <c r="B10" s="127" t="s">
        <v>9</v>
      </c>
      <c r="C10" s="74" t="s">
        <v>237</v>
      </c>
      <c r="D10" s="333"/>
      <c r="E10" s="333"/>
      <c r="F10" s="337"/>
      <c r="G10" s="337"/>
    </row>
    <row r="11" spans="1:7" x14ac:dyDescent="0.25">
      <c r="A11" s="262"/>
      <c r="B11" s="127" t="s">
        <v>11</v>
      </c>
      <c r="C11" s="76" t="s">
        <v>235</v>
      </c>
      <c r="D11" s="329" t="s">
        <v>234</v>
      </c>
      <c r="E11" s="329"/>
      <c r="F11" s="338" t="s">
        <v>276</v>
      </c>
      <c r="G11" s="338"/>
    </row>
    <row r="12" spans="1:7" x14ac:dyDescent="0.25">
      <c r="A12" s="262"/>
      <c r="B12" s="127" t="s">
        <v>13</v>
      </c>
      <c r="C12" s="74" t="s">
        <v>75</v>
      </c>
      <c r="D12" s="334" t="s">
        <v>76</v>
      </c>
      <c r="E12" s="334"/>
      <c r="F12" s="334" t="s">
        <v>76</v>
      </c>
      <c r="G12" s="334"/>
    </row>
    <row r="13" spans="1:7" x14ac:dyDescent="0.25">
      <c r="A13" s="262"/>
      <c r="B13" s="332"/>
      <c r="C13" s="332"/>
      <c r="D13" s="121"/>
      <c r="E13" s="73"/>
      <c r="F13" s="121"/>
      <c r="G13" s="73"/>
    </row>
    <row r="14" spans="1:7" x14ac:dyDescent="0.25">
      <c r="A14" s="262"/>
      <c r="B14" s="311" t="s">
        <v>77</v>
      </c>
      <c r="C14" s="311"/>
      <c r="D14" s="87"/>
      <c r="E14" s="73"/>
      <c r="F14" s="87"/>
      <c r="G14" s="73"/>
    </row>
    <row r="15" spans="1:7" ht="45" x14ac:dyDescent="0.25">
      <c r="A15" s="262"/>
      <c r="B15" s="317" t="s">
        <v>78</v>
      </c>
      <c r="C15" s="317"/>
      <c r="D15" s="115" t="s">
        <v>79</v>
      </c>
      <c r="E15" s="115" t="s">
        <v>272</v>
      </c>
      <c r="F15" s="115" t="s">
        <v>79</v>
      </c>
      <c r="G15" s="115" t="s">
        <v>80</v>
      </c>
    </row>
    <row r="16" spans="1:7" x14ac:dyDescent="0.25">
      <c r="A16" s="262"/>
      <c r="B16" s="329" t="s">
        <v>130</v>
      </c>
      <c r="C16" s="329"/>
      <c r="D16" s="126" t="s">
        <v>96</v>
      </c>
      <c r="E16" s="126" t="s">
        <v>97</v>
      </c>
      <c r="F16" s="126" t="s">
        <v>96</v>
      </c>
      <c r="G16" s="126" t="s">
        <v>97</v>
      </c>
    </row>
    <row r="17" spans="1:7" x14ac:dyDescent="0.25">
      <c r="A17" s="262"/>
      <c r="B17" s="325"/>
      <c r="C17" s="325"/>
      <c r="D17" s="84"/>
      <c r="E17" s="84"/>
      <c r="F17" s="84"/>
      <c r="G17" s="84"/>
    </row>
    <row r="18" spans="1:7" ht="15" customHeight="1" x14ac:dyDescent="0.25">
      <c r="A18" s="262"/>
      <c r="B18" s="312" t="s">
        <v>0</v>
      </c>
      <c r="C18" s="312"/>
      <c r="D18" s="85"/>
      <c r="E18" s="114"/>
      <c r="F18" s="85"/>
      <c r="G18" s="114"/>
    </row>
    <row r="19" spans="1:7" ht="27.75" customHeight="1" x14ac:dyDescent="0.25">
      <c r="A19" s="262"/>
      <c r="B19" s="127">
        <v>1</v>
      </c>
      <c r="C19" s="80" t="s">
        <v>1</v>
      </c>
      <c r="D19" s="127" t="str">
        <f>B16</f>
        <v>AUX. SERVIÇOS GERAIS</v>
      </c>
      <c r="E19" s="73"/>
      <c r="F19" s="127" t="str">
        <f>B16</f>
        <v>AUX. SERVIÇOS GERAIS</v>
      </c>
      <c r="G19" s="73"/>
    </row>
    <row r="20" spans="1:7" x14ac:dyDescent="0.25">
      <c r="A20" s="262"/>
      <c r="B20" s="127">
        <v>2</v>
      </c>
      <c r="C20" s="80" t="s">
        <v>2</v>
      </c>
      <c r="D20" s="86">
        <v>1121.33</v>
      </c>
      <c r="E20" s="73"/>
      <c r="F20" s="142">
        <v>1156.0899999999999</v>
      </c>
      <c r="G20" s="73"/>
    </row>
    <row r="21" spans="1:7" ht="26.25" customHeight="1" x14ac:dyDescent="0.25">
      <c r="A21" s="262"/>
      <c r="B21" s="127">
        <v>3</v>
      </c>
      <c r="C21" s="80" t="s">
        <v>87</v>
      </c>
      <c r="D21" s="127" t="str">
        <f>B16</f>
        <v>AUX. SERVIÇOS GERAIS</v>
      </c>
      <c r="E21" s="73"/>
      <c r="F21" s="127" t="str">
        <f>B16</f>
        <v>AUX. SERVIÇOS GERAIS</v>
      </c>
      <c r="G21" s="73"/>
    </row>
    <row r="22" spans="1:7" x14ac:dyDescent="0.25">
      <c r="A22" s="262"/>
      <c r="B22" s="127">
        <v>4</v>
      </c>
      <c r="C22" s="80" t="s">
        <v>3</v>
      </c>
      <c r="D22" s="125">
        <v>42736</v>
      </c>
      <c r="E22" s="73"/>
      <c r="F22" s="141">
        <v>43101</v>
      </c>
      <c r="G22" s="73"/>
    </row>
    <row r="23" spans="1:7" x14ac:dyDescent="0.25">
      <c r="A23" s="262"/>
      <c r="B23" s="311" t="s">
        <v>4</v>
      </c>
      <c r="C23" s="311"/>
      <c r="D23" s="87"/>
      <c r="E23" s="73"/>
      <c r="F23" s="87"/>
      <c r="G23" s="73"/>
    </row>
    <row r="24" spans="1:7" x14ac:dyDescent="0.25">
      <c r="A24" s="262"/>
      <c r="B24" s="124">
        <v>1</v>
      </c>
      <c r="C24" s="124" t="s">
        <v>5</v>
      </c>
      <c r="D24" s="124" t="s">
        <v>6</v>
      </c>
      <c r="E24" s="73"/>
      <c r="F24" s="124" t="s">
        <v>6</v>
      </c>
      <c r="G24" s="73"/>
    </row>
    <row r="25" spans="1:7" x14ac:dyDescent="0.25">
      <c r="A25" s="262"/>
      <c r="B25" s="127" t="s">
        <v>7</v>
      </c>
      <c r="C25" s="74" t="s">
        <v>8</v>
      </c>
      <c r="D25" s="88">
        <f>D20</f>
        <v>1121.33</v>
      </c>
      <c r="E25" s="73"/>
      <c r="F25" s="88">
        <f>F20</f>
        <v>1156.0899999999999</v>
      </c>
      <c r="G25" s="73"/>
    </row>
    <row r="26" spans="1:7" x14ac:dyDescent="0.25">
      <c r="A26" s="262"/>
      <c r="B26" s="127" t="s">
        <v>9</v>
      </c>
      <c r="C26" s="74" t="s">
        <v>10</v>
      </c>
      <c r="D26" s="88"/>
      <c r="E26" s="73"/>
      <c r="F26" s="88"/>
      <c r="G26" s="73"/>
    </row>
    <row r="27" spans="1:7" x14ac:dyDescent="0.25">
      <c r="A27" s="262"/>
      <c r="B27" s="127" t="s">
        <v>11</v>
      </c>
      <c r="C27" s="74" t="s">
        <v>12</v>
      </c>
      <c r="D27" s="88"/>
      <c r="E27" s="73"/>
      <c r="F27" s="88"/>
      <c r="G27" s="73"/>
    </row>
    <row r="28" spans="1:7" x14ac:dyDescent="0.25">
      <c r="A28" s="262"/>
      <c r="B28" s="127" t="s">
        <v>13</v>
      </c>
      <c r="C28" s="74" t="s">
        <v>14</v>
      </c>
      <c r="D28" s="88"/>
      <c r="E28" s="73"/>
      <c r="F28" s="88"/>
      <c r="G28" s="73"/>
    </row>
    <row r="29" spans="1:7" x14ac:dyDescent="0.25">
      <c r="A29" s="262"/>
      <c r="B29" s="127" t="s">
        <v>15</v>
      </c>
      <c r="C29" s="74" t="s">
        <v>16</v>
      </c>
      <c r="D29" s="88"/>
      <c r="E29" s="73"/>
      <c r="F29" s="88"/>
      <c r="G29" s="73"/>
    </row>
    <row r="30" spans="1:7" x14ac:dyDescent="0.25">
      <c r="A30" s="262"/>
      <c r="B30" s="127" t="s">
        <v>17</v>
      </c>
      <c r="C30" s="74" t="s">
        <v>18</v>
      </c>
      <c r="D30" s="88"/>
      <c r="E30" s="73"/>
      <c r="F30" s="88"/>
      <c r="G30" s="73"/>
    </row>
    <row r="31" spans="1:7" x14ac:dyDescent="0.25">
      <c r="A31" s="262"/>
      <c r="B31" s="127" t="s">
        <v>19</v>
      </c>
      <c r="C31" s="74" t="s">
        <v>110</v>
      </c>
      <c r="D31" s="88"/>
      <c r="E31" s="73"/>
      <c r="F31" s="88"/>
      <c r="G31" s="73"/>
    </row>
    <row r="32" spans="1:7" x14ac:dyDescent="0.25">
      <c r="A32" s="262"/>
      <c r="B32" s="127" t="s">
        <v>20</v>
      </c>
      <c r="C32" s="74" t="s">
        <v>21</v>
      </c>
      <c r="D32" s="88"/>
      <c r="E32" s="73"/>
      <c r="F32" s="88"/>
      <c r="G32" s="73"/>
    </row>
    <row r="33" spans="1:7" ht="15" customHeight="1" x14ac:dyDescent="0.25">
      <c r="A33" s="262"/>
      <c r="B33" s="312" t="s">
        <v>22</v>
      </c>
      <c r="C33" s="312"/>
      <c r="D33" s="89">
        <f>SUM(D25:D32)</f>
        <v>1121.33</v>
      </c>
      <c r="E33" s="114"/>
      <c r="F33" s="89">
        <f>SUM(F25:F32)</f>
        <v>1156.0899999999999</v>
      </c>
      <c r="G33" s="114"/>
    </row>
    <row r="34" spans="1:7" x14ac:dyDescent="0.25">
      <c r="A34" s="262"/>
      <c r="B34" s="311" t="s">
        <v>23</v>
      </c>
      <c r="C34" s="311"/>
      <c r="D34" s="87"/>
      <c r="E34" s="73"/>
      <c r="F34" s="87"/>
      <c r="G34" s="73"/>
    </row>
    <row r="35" spans="1:7" x14ac:dyDescent="0.25">
      <c r="A35" s="262"/>
      <c r="B35" s="124">
        <v>2</v>
      </c>
      <c r="C35" s="124" t="s">
        <v>24</v>
      </c>
      <c r="D35" s="124" t="s">
        <v>6</v>
      </c>
      <c r="E35" s="114"/>
      <c r="F35" s="124" t="s">
        <v>6</v>
      </c>
      <c r="G35" s="114"/>
    </row>
    <row r="36" spans="1:7" x14ac:dyDescent="0.25">
      <c r="A36" s="262"/>
      <c r="B36" s="127" t="s">
        <v>7</v>
      </c>
      <c r="C36" s="82" t="s">
        <v>271</v>
      </c>
      <c r="D36" s="90">
        <f>(5*2*20.7365) - D33*6%</f>
        <v>140.08520000000001</v>
      </c>
      <c r="E36" s="73"/>
      <c r="F36" s="90">
        <f>(5*2*20.7365) - F33*6%</f>
        <v>137.99960000000002</v>
      </c>
      <c r="G36" s="73"/>
    </row>
    <row r="37" spans="1:7" x14ac:dyDescent="0.25">
      <c r="A37" s="262"/>
      <c r="B37" s="127" t="s">
        <v>9</v>
      </c>
      <c r="C37" s="74" t="s">
        <v>275</v>
      </c>
      <c r="D37" s="88">
        <f>29.5*20.7365</f>
        <v>611.72675000000004</v>
      </c>
      <c r="E37" s="73"/>
      <c r="F37" s="143">
        <f>31.5*20.7365</f>
        <v>653.19974999999999</v>
      </c>
      <c r="G37" s="73"/>
    </row>
    <row r="38" spans="1:7" x14ac:dyDescent="0.25">
      <c r="A38" s="262"/>
      <c r="B38" s="127" t="s">
        <v>11</v>
      </c>
      <c r="C38" s="74" t="s">
        <v>25</v>
      </c>
      <c r="D38" s="88">
        <v>0</v>
      </c>
      <c r="E38" s="73"/>
      <c r="F38" s="88">
        <v>0</v>
      </c>
      <c r="G38" s="73"/>
    </row>
    <row r="39" spans="1:7" x14ac:dyDescent="0.25">
      <c r="A39" s="262"/>
      <c r="B39" s="127" t="s">
        <v>13</v>
      </c>
      <c r="C39" s="74" t="s">
        <v>81</v>
      </c>
      <c r="D39" s="88"/>
      <c r="E39" s="73"/>
      <c r="F39" s="88"/>
      <c r="G39" s="73"/>
    </row>
    <row r="40" spans="1:7" x14ac:dyDescent="0.25">
      <c r="A40" s="262"/>
      <c r="B40" s="127" t="s">
        <v>15</v>
      </c>
      <c r="C40" s="74" t="s">
        <v>232</v>
      </c>
      <c r="D40" s="117">
        <v>1.5</v>
      </c>
      <c r="E40" s="91" t="s">
        <v>238</v>
      </c>
      <c r="F40" s="117">
        <v>1.5</v>
      </c>
      <c r="G40" s="91"/>
    </row>
    <row r="41" spans="1:7" x14ac:dyDescent="0.25">
      <c r="A41" s="262"/>
      <c r="B41" s="127" t="s">
        <v>17</v>
      </c>
      <c r="C41" s="74" t="s">
        <v>88</v>
      </c>
      <c r="D41" s="92">
        <v>29.16</v>
      </c>
      <c r="E41" s="73"/>
      <c r="F41" s="92">
        <v>29.16</v>
      </c>
      <c r="G41" s="73"/>
    </row>
    <row r="42" spans="1:7" x14ac:dyDescent="0.25">
      <c r="A42" s="262"/>
      <c r="B42" s="113" t="s">
        <v>19</v>
      </c>
      <c r="C42" s="82" t="s">
        <v>233</v>
      </c>
      <c r="D42" s="92">
        <v>5</v>
      </c>
      <c r="E42" s="93"/>
      <c r="F42" s="143">
        <v>9.9</v>
      </c>
      <c r="G42" s="93"/>
    </row>
    <row r="43" spans="1:7" ht="15" customHeight="1" x14ac:dyDescent="0.25">
      <c r="A43" s="262"/>
      <c r="B43" s="312" t="s">
        <v>26</v>
      </c>
      <c r="C43" s="312"/>
      <c r="D43" s="89">
        <f>SUM(D36:D42)</f>
        <v>787.47194999999999</v>
      </c>
      <c r="E43" s="114"/>
      <c r="F43" s="89">
        <f>SUM(F36:F42)</f>
        <v>831.75934999999993</v>
      </c>
      <c r="G43" s="114"/>
    </row>
    <row r="44" spans="1:7" ht="15" customHeight="1" x14ac:dyDescent="0.25">
      <c r="A44" s="262"/>
      <c r="B44" s="331" t="s">
        <v>253</v>
      </c>
      <c r="C44" s="331"/>
      <c r="D44" s="82"/>
      <c r="E44" s="82"/>
      <c r="F44" s="82"/>
      <c r="G44" s="82"/>
    </row>
    <row r="45" spans="1:7" ht="15" customHeight="1" x14ac:dyDescent="0.25">
      <c r="A45" s="262"/>
      <c r="B45" s="317" t="s">
        <v>89</v>
      </c>
      <c r="C45" s="317"/>
      <c r="D45" s="76"/>
      <c r="E45" s="73"/>
      <c r="F45" s="76"/>
      <c r="G45" s="73"/>
    </row>
    <row r="46" spans="1:7" x14ac:dyDescent="0.25">
      <c r="A46" s="262"/>
      <c r="B46" s="124">
        <v>3</v>
      </c>
      <c r="C46" s="124" t="s">
        <v>27</v>
      </c>
      <c r="D46" s="124" t="s">
        <v>6</v>
      </c>
      <c r="E46" s="114"/>
      <c r="F46" s="124" t="s">
        <v>6</v>
      </c>
      <c r="G46" s="114"/>
    </row>
    <row r="47" spans="1:7" x14ac:dyDescent="0.25">
      <c r="A47" s="262"/>
      <c r="B47" s="127" t="s">
        <v>7</v>
      </c>
      <c r="C47" s="74" t="s">
        <v>231</v>
      </c>
      <c r="D47" s="88">
        <f>UNIFORMES!G43</f>
        <v>51.683333333333337</v>
      </c>
      <c r="E47" s="73"/>
      <c r="F47" s="88">
        <f>UNIFORMES!G43</f>
        <v>51.683333333333337</v>
      </c>
      <c r="G47" s="73"/>
    </row>
    <row r="48" spans="1:7" x14ac:dyDescent="0.25">
      <c r="A48" s="262"/>
      <c r="B48" s="127" t="s">
        <v>9</v>
      </c>
      <c r="C48" s="74" t="s">
        <v>107</v>
      </c>
      <c r="D48" s="88">
        <v>0</v>
      </c>
      <c r="E48" s="94"/>
      <c r="F48" s="88">
        <v>0</v>
      </c>
      <c r="G48" s="94"/>
    </row>
    <row r="49" spans="1:7" x14ac:dyDescent="0.25">
      <c r="A49" s="262"/>
      <c r="B49" s="113" t="s">
        <v>11</v>
      </c>
      <c r="C49" s="82" t="s">
        <v>108</v>
      </c>
      <c r="D49" s="92">
        <v>0</v>
      </c>
      <c r="E49" s="93"/>
      <c r="F49" s="92">
        <v>0</v>
      </c>
      <c r="G49" s="93"/>
    </row>
    <row r="50" spans="1:7" ht="25.5" x14ac:dyDescent="0.25">
      <c r="A50" s="262"/>
      <c r="B50" s="113" t="s">
        <v>13</v>
      </c>
      <c r="C50" s="82" t="s">
        <v>136</v>
      </c>
      <c r="D50" s="92">
        <f>TREINAMENTO!G16</f>
        <v>9.92</v>
      </c>
      <c r="E50" s="93"/>
      <c r="F50" s="92">
        <f>TREINAMENTO!G16</f>
        <v>9.92</v>
      </c>
      <c r="G50" s="93"/>
    </row>
    <row r="51" spans="1:7" ht="15" customHeight="1" x14ac:dyDescent="0.25">
      <c r="A51" s="262"/>
      <c r="B51" s="312" t="s">
        <v>28</v>
      </c>
      <c r="C51" s="312"/>
      <c r="D51" s="89">
        <f>SUM(D47:D50)</f>
        <v>61.603333333333339</v>
      </c>
      <c r="E51" s="114"/>
      <c r="F51" s="89">
        <f>SUM(F47:F50)</f>
        <v>61.603333333333339</v>
      </c>
      <c r="G51" s="114"/>
    </row>
    <row r="52" spans="1:7" ht="15" customHeight="1" x14ac:dyDescent="0.25">
      <c r="A52" s="262"/>
      <c r="B52" s="326" t="s">
        <v>247</v>
      </c>
      <c r="C52" s="326"/>
      <c r="D52" s="82"/>
      <c r="E52" s="82"/>
      <c r="F52" s="82"/>
      <c r="G52" s="82"/>
    </row>
    <row r="53" spans="1:7" x14ac:dyDescent="0.25">
      <c r="A53" s="262"/>
      <c r="B53" s="327" t="s">
        <v>29</v>
      </c>
      <c r="C53" s="327"/>
      <c r="D53" s="87"/>
      <c r="E53" s="87"/>
      <c r="F53" s="87"/>
      <c r="G53" s="87"/>
    </row>
    <row r="54" spans="1:7" x14ac:dyDescent="0.25">
      <c r="A54" s="262"/>
      <c r="B54" s="328" t="s">
        <v>82</v>
      </c>
      <c r="C54" s="328"/>
      <c r="D54" s="87"/>
      <c r="E54" s="87"/>
      <c r="F54" s="87"/>
      <c r="G54" s="87"/>
    </row>
    <row r="55" spans="1:7" x14ac:dyDescent="0.25">
      <c r="A55" s="262"/>
      <c r="B55" s="124" t="s">
        <v>30</v>
      </c>
      <c r="C55" s="124" t="s">
        <v>31</v>
      </c>
      <c r="D55" s="124" t="s">
        <v>32</v>
      </c>
      <c r="E55" s="124" t="s">
        <v>6</v>
      </c>
      <c r="F55" s="124" t="s">
        <v>32</v>
      </c>
      <c r="G55" s="124" t="s">
        <v>6</v>
      </c>
    </row>
    <row r="56" spans="1:7" x14ac:dyDescent="0.25">
      <c r="A56" s="262"/>
      <c r="B56" s="127" t="s">
        <v>7</v>
      </c>
      <c r="C56" s="74" t="s">
        <v>33</v>
      </c>
      <c r="D56" s="95">
        <v>0.2</v>
      </c>
      <c r="E56" s="88">
        <f>D56*$D$33</f>
        <v>224.26599999999999</v>
      </c>
      <c r="F56" s="95">
        <v>0.2</v>
      </c>
      <c r="G56" s="88">
        <f>ROUND(F56*$F$33,2)</f>
        <v>231.22</v>
      </c>
    </row>
    <row r="57" spans="1:7" x14ac:dyDescent="0.25">
      <c r="A57" s="262"/>
      <c r="B57" s="127" t="s">
        <v>9</v>
      </c>
      <c r="C57" s="74" t="s">
        <v>34</v>
      </c>
      <c r="D57" s="95">
        <v>1.4999999999999999E-2</v>
      </c>
      <c r="E57" s="88">
        <f t="shared" ref="E57:E63" si="0">D57*$D$33</f>
        <v>16.819949999999999</v>
      </c>
      <c r="F57" s="95">
        <v>1.4999999999999999E-2</v>
      </c>
      <c r="G57" s="88">
        <f t="shared" ref="G57:G63" si="1">ROUND(F57*$F$33,2)</f>
        <v>17.34</v>
      </c>
    </row>
    <row r="58" spans="1:7" x14ac:dyDescent="0.25">
      <c r="A58" s="262"/>
      <c r="B58" s="127" t="s">
        <v>11</v>
      </c>
      <c r="C58" s="74" t="s">
        <v>35</v>
      </c>
      <c r="D58" s="95">
        <v>0.01</v>
      </c>
      <c r="E58" s="88">
        <f t="shared" si="0"/>
        <v>11.2133</v>
      </c>
      <c r="F58" s="95">
        <v>0.01</v>
      </c>
      <c r="G58" s="88">
        <f t="shared" si="1"/>
        <v>11.56</v>
      </c>
    </row>
    <row r="59" spans="1:7" x14ac:dyDescent="0.25">
      <c r="A59" s="262"/>
      <c r="B59" s="127" t="s">
        <v>13</v>
      </c>
      <c r="C59" s="74" t="s">
        <v>36</v>
      </c>
      <c r="D59" s="95">
        <v>2E-3</v>
      </c>
      <c r="E59" s="88">
        <f t="shared" si="0"/>
        <v>2.2426599999999999</v>
      </c>
      <c r="F59" s="95">
        <v>2E-3</v>
      </c>
      <c r="G59" s="88">
        <f t="shared" si="1"/>
        <v>2.31</v>
      </c>
    </row>
    <row r="60" spans="1:7" x14ac:dyDescent="0.25">
      <c r="A60" s="262"/>
      <c r="B60" s="127" t="s">
        <v>15</v>
      </c>
      <c r="C60" s="123" t="s">
        <v>37</v>
      </c>
      <c r="D60" s="95">
        <v>2.5000000000000001E-2</v>
      </c>
      <c r="E60" s="88">
        <f t="shared" si="0"/>
        <v>28.033249999999999</v>
      </c>
      <c r="F60" s="95">
        <v>2.5000000000000001E-2</v>
      </c>
      <c r="G60" s="88">
        <f t="shared" si="1"/>
        <v>28.9</v>
      </c>
    </row>
    <row r="61" spans="1:7" x14ac:dyDescent="0.25">
      <c r="A61" s="262"/>
      <c r="B61" s="127" t="s">
        <v>17</v>
      </c>
      <c r="C61" s="74" t="s">
        <v>38</v>
      </c>
      <c r="D61" s="95">
        <v>0.08</v>
      </c>
      <c r="E61" s="88">
        <f t="shared" si="0"/>
        <v>89.706400000000002</v>
      </c>
      <c r="F61" s="95">
        <v>0.08</v>
      </c>
      <c r="G61" s="88">
        <f t="shared" si="1"/>
        <v>92.49</v>
      </c>
    </row>
    <row r="62" spans="1:7" x14ac:dyDescent="0.25">
      <c r="A62" s="262"/>
      <c r="B62" s="127" t="s">
        <v>19</v>
      </c>
      <c r="C62" s="74" t="s">
        <v>90</v>
      </c>
      <c r="D62" s="95">
        <v>1.66E-2</v>
      </c>
      <c r="E62" s="88">
        <f t="shared" si="0"/>
        <v>18.614077999999999</v>
      </c>
      <c r="F62" s="140">
        <v>1.9800000000000002E-2</v>
      </c>
      <c r="G62" s="88">
        <f t="shared" si="1"/>
        <v>22.89</v>
      </c>
    </row>
    <row r="63" spans="1:7" x14ac:dyDescent="0.25">
      <c r="A63" s="262"/>
      <c r="B63" s="127" t="s">
        <v>20</v>
      </c>
      <c r="C63" s="74" t="s">
        <v>39</v>
      </c>
      <c r="D63" s="95">
        <v>6.0000000000000001E-3</v>
      </c>
      <c r="E63" s="88">
        <f t="shared" si="0"/>
        <v>6.7279799999999996</v>
      </c>
      <c r="F63" s="95">
        <v>6.0000000000000001E-3</v>
      </c>
      <c r="G63" s="88">
        <f t="shared" si="1"/>
        <v>6.94</v>
      </c>
    </row>
    <row r="64" spans="1:7" x14ac:dyDescent="0.25">
      <c r="A64" s="262"/>
      <c r="B64" s="312" t="s">
        <v>40</v>
      </c>
      <c r="C64" s="312"/>
      <c r="D64" s="96">
        <f>SUM(D56:D63)</f>
        <v>0.35460000000000008</v>
      </c>
      <c r="E64" s="97">
        <f>SUM(E56:E63)</f>
        <v>397.62361800000002</v>
      </c>
      <c r="F64" s="96">
        <f>SUM(F56:F63)</f>
        <v>0.35780000000000006</v>
      </c>
      <c r="G64" s="97">
        <f>SUM(G56:G63)</f>
        <v>413.65</v>
      </c>
    </row>
    <row r="65" spans="1:8" ht="15" customHeight="1" x14ac:dyDescent="0.25">
      <c r="A65" s="262"/>
      <c r="B65" s="331" t="s">
        <v>250</v>
      </c>
      <c r="C65" s="331"/>
      <c r="D65" s="82"/>
      <c r="E65" s="82"/>
      <c r="F65" s="82"/>
      <c r="G65" s="82"/>
    </row>
    <row r="66" spans="1:8" ht="15" customHeight="1" x14ac:dyDescent="0.25">
      <c r="A66" s="262"/>
      <c r="B66" s="331" t="s">
        <v>251</v>
      </c>
      <c r="C66" s="331"/>
      <c r="D66" s="82"/>
      <c r="E66" s="82"/>
      <c r="F66" s="82"/>
      <c r="G66" s="82"/>
    </row>
    <row r="67" spans="1:8" ht="15" customHeight="1" x14ac:dyDescent="0.25">
      <c r="A67" s="262"/>
      <c r="B67" s="331" t="s">
        <v>252</v>
      </c>
      <c r="C67" s="331"/>
      <c r="D67" s="82"/>
      <c r="E67" s="82"/>
      <c r="F67" s="82"/>
      <c r="G67" s="82"/>
    </row>
    <row r="68" spans="1:8" x14ac:dyDescent="0.25">
      <c r="A68" s="262"/>
      <c r="B68" s="328" t="s">
        <v>83</v>
      </c>
      <c r="C68" s="328"/>
      <c r="D68" s="98"/>
      <c r="E68" s="98"/>
      <c r="F68" s="98"/>
      <c r="G68" s="98"/>
    </row>
    <row r="69" spans="1:8" x14ac:dyDescent="0.25">
      <c r="A69" s="262"/>
      <c r="B69" s="124" t="s">
        <v>41</v>
      </c>
      <c r="C69" s="124" t="s">
        <v>91</v>
      </c>
      <c r="D69" s="124" t="s">
        <v>32</v>
      </c>
      <c r="E69" s="124" t="s">
        <v>6</v>
      </c>
      <c r="F69" s="124" t="s">
        <v>32</v>
      </c>
      <c r="G69" s="124" t="s">
        <v>6</v>
      </c>
    </row>
    <row r="70" spans="1:8" x14ac:dyDescent="0.25">
      <c r="A70" s="262"/>
      <c r="B70" s="127" t="s">
        <v>7</v>
      </c>
      <c r="C70" s="74" t="s">
        <v>42</v>
      </c>
      <c r="D70" s="99">
        <v>8.3299999999999999E-2</v>
      </c>
      <c r="E70" s="88">
        <f>D70*$D$33</f>
        <v>93.406788999999989</v>
      </c>
      <c r="F70" s="99">
        <v>8.3299999999999999E-2</v>
      </c>
      <c r="G70" s="88">
        <f>ROUND(F70*$F$33,2)</f>
        <v>96.3</v>
      </c>
      <c r="H70" s="238"/>
    </row>
    <row r="71" spans="1:8" x14ac:dyDescent="0.25">
      <c r="A71" s="262"/>
      <c r="B71" s="127" t="s">
        <v>9</v>
      </c>
      <c r="C71" s="74" t="s">
        <v>92</v>
      </c>
      <c r="D71" s="99">
        <v>2.7799999999999998E-2</v>
      </c>
      <c r="E71" s="88">
        <f>D71*$D$33</f>
        <v>31.172973999999996</v>
      </c>
      <c r="F71" s="99">
        <v>2.7799999999999998E-2</v>
      </c>
      <c r="G71" s="88">
        <f>ROUND(F71*$F$33,2)</f>
        <v>32.14</v>
      </c>
    </row>
    <row r="72" spans="1:8" x14ac:dyDescent="0.25">
      <c r="A72" s="262"/>
      <c r="B72" s="127"/>
      <c r="C72" s="127" t="s">
        <v>43</v>
      </c>
      <c r="D72" s="100">
        <f>SUM(D70:D71)</f>
        <v>0.1111</v>
      </c>
      <c r="E72" s="101">
        <f>SUM(E70:E71)</f>
        <v>124.57976299999999</v>
      </c>
      <c r="F72" s="100">
        <f>SUM(F70:F71)</f>
        <v>0.1111</v>
      </c>
      <c r="G72" s="101">
        <f>SUM(G70:G71)</f>
        <v>128.44</v>
      </c>
    </row>
    <row r="73" spans="1:8" x14ac:dyDescent="0.25">
      <c r="A73" s="262"/>
      <c r="B73" s="127" t="s">
        <v>9</v>
      </c>
      <c r="C73" s="74" t="s">
        <v>267</v>
      </c>
      <c r="D73" s="95">
        <f>D64*D72</f>
        <v>3.9396060000000011E-2</v>
      </c>
      <c r="E73" s="88">
        <f>D73*$D$33</f>
        <v>44.175983959800007</v>
      </c>
      <c r="F73" s="95">
        <f>F64*F72</f>
        <v>3.9751580000000009E-2</v>
      </c>
      <c r="G73" s="88">
        <f>ROUND(F73*$F$33,2)</f>
        <v>45.96</v>
      </c>
    </row>
    <row r="74" spans="1:8" x14ac:dyDescent="0.25">
      <c r="A74" s="262"/>
      <c r="B74" s="353" t="s">
        <v>40</v>
      </c>
      <c r="C74" s="353"/>
      <c r="D74" s="128">
        <f>SUM(D73,D72)</f>
        <v>0.15049606000000001</v>
      </c>
      <c r="E74" s="129">
        <f>SUM(E73,E72)</f>
        <v>168.75574695979998</v>
      </c>
      <c r="F74" s="128">
        <f>SUM(F73,F72)</f>
        <v>0.15085158000000001</v>
      </c>
      <c r="G74" s="129">
        <f>SUM(G73,G72)</f>
        <v>174.4</v>
      </c>
    </row>
    <row r="75" spans="1:8" x14ac:dyDescent="0.25">
      <c r="A75" s="262"/>
      <c r="B75" s="336" t="s">
        <v>44</v>
      </c>
      <c r="C75" s="336"/>
      <c r="D75" s="336"/>
      <c r="E75" s="336"/>
      <c r="F75" s="73"/>
      <c r="G75" s="73"/>
    </row>
    <row r="76" spans="1:8" x14ac:dyDescent="0.25">
      <c r="A76" s="262"/>
      <c r="B76" s="137" t="s">
        <v>45</v>
      </c>
      <c r="C76" s="137" t="s">
        <v>46</v>
      </c>
      <c r="D76" s="137" t="s">
        <v>32</v>
      </c>
      <c r="E76" s="137" t="s">
        <v>6</v>
      </c>
      <c r="F76" s="137" t="s">
        <v>32</v>
      </c>
      <c r="G76" s="137" t="s">
        <v>6</v>
      </c>
    </row>
    <row r="77" spans="1:8" x14ac:dyDescent="0.25">
      <c r="A77" s="262"/>
      <c r="B77" s="131" t="s">
        <v>7</v>
      </c>
      <c r="C77" s="132" t="s">
        <v>111</v>
      </c>
      <c r="D77" s="133">
        <v>0</v>
      </c>
      <c r="E77" s="134">
        <f>D77*$D$33</f>
        <v>0</v>
      </c>
      <c r="F77" s="133">
        <v>0</v>
      </c>
      <c r="G77" s="134">
        <f>F77*$F$33</f>
        <v>0</v>
      </c>
    </row>
    <row r="78" spans="1:8" x14ac:dyDescent="0.25">
      <c r="A78" s="262"/>
      <c r="B78" s="131" t="s">
        <v>9</v>
      </c>
      <c r="C78" s="132" t="s">
        <v>274</v>
      </c>
      <c r="D78" s="135">
        <f>D64*D77</f>
        <v>0</v>
      </c>
      <c r="E78" s="136">
        <f>D78*$D$33</f>
        <v>0</v>
      </c>
      <c r="F78" s="135">
        <f>F64*F77</f>
        <v>0</v>
      </c>
      <c r="G78" s="136">
        <f>F78*$F$33</f>
        <v>0</v>
      </c>
    </row>
    <row r="79" spans="1:8" x14ac:dyDescent="0.25">
      <c r="A79" s="262"/>
      <c r="B79" s="352" t="s">
        <v>40</v>
      </c>
      <c r="C79" s="352"/>
      <c r="D79" s="138">
        <f>SUM(D78,D77)</f>
        <v>0</v>
      </c>
      <c r="E79" s="139">
        <f>SUM(E78,E77)</f>
        <v>0</v>
      </c>
      <c r="F79" s="138">
        <f>SUM(F78,F77)</f>
        <v>0</v>
      </c>
      <c r="G79" s="139">
        <f>SUM(G78,G77)</f>
        <v>0</v>
      </c>
    </row>
    <row r="80" spans="1:8" x14ac:dyDescent="0.25">
      <c r="A80" s="262"/>
      <c r="B80" s="336" t="s">
        <v>86</v>
      </c>
      <c r="C80" s="336"/>
      <c r="D80" s="87"/>
      <c r="E80" s="87"/>
      <c r="F80" s="87"/>
      <c r="G80" s="87"/>
    </row>
    <row r="81" spans="1:8" x14ac:dyDescent="0.25">
      <c r="A81" s="262"/>
      <c r="B81" s="124" t="s">
        <v>47</v>
      </c>
      <c r="C81" s="124" t="s">
        <v>48</v>
      </c>
      <c r="D81" s="124" t="s">
        <v>32</v>
      </c>
      <c r="E81" s="124" t="s">
        <v>6</v>
      </c>
      <c r="F81" s="124" t="s">
        <v>32</v>
      </c>
      <c r="G81" s="124" t="s">
        <v>6</v>
      </c>
    </row>
    <row r="82" spans="1:8" x14ac:dyDescent="0.25">
      <c r="A82" s="262"/>
      <c r="B82" s="127" t="s">
        <v>7</v>
      </c>
      <c r="C82" s="74" t="s">
        <v>49</v>
      </c>
      <c r="D82" s="240">
        <v>4.1999999999999997E-3</v>
      </c>
      <c r="E82" s="88">
        <f>D82*$D$33</f>
        <v>4.7095859999999998</v>
      </c>
      <c r="F82" s="245">
        <f>0.1*D82</f>
        <v>4.2000000000000002E-4</v>
      </c>
      <c r="G82" s="247">
        <f>ROUND(F82*$F$33,2)</f>
        <v>0.49</v>
      </c>
      <c r="H82" s="310" t="s">
        <v>372</v>
      </c>
    </row>
    <row r="83" spans="1:8" x14ac:dyDescent="0.25">
      <c r="A83" s="262"/>
      <c r="B83" s="127" t="s">
        <v>9</v>
      </c>
      <c r="C83" s="74" t="s">
        <v>269</v>
      </c>
      <c r="D83" s="240">
        <f>D64*D82</f>
        <v>1.4893200000000004E-3</v>
      </c>
      <c r="E83" s="88">
        <f t="shared" ref="E83:E87" si="2">D83*$D$33</f>
        <v>1.6700191956000003</v>
      </c>
      <c r="F83" s="245">
        <f>F64*F82</f>
        <v>1.5027600000000002E-4</v>
      </c>
      <c r="G83" s="246">
        <f t="shared" ref="G83:G87" si="3">ROUND(F83*$F$33,2)</f>
        <v>0.17</v>
      </c>
      <c r="H83" s="310"/>
    </row>
    <row r="84" spans="1:8" x14ac:dyDescent="0.25">
      <c r="A84" s="262"/>
      <c r="B84" s="127" t="s">
        <v>11</v>
      </c>
      <c r="C84" s="74" t="s">
        <v>84</v>
      </c>
      <c r="D84" s="240">
        <v>2.0999999999999999E-3</v>
      </c>
      <c r="E84" s="88">
        <f t="shared" si="2"/>
        <v>2.3547929999999999</v>
      </c>
      <c r="F84" s="240">
        <v>2.0999999999999999E-3</v>
      </c>
      <c r="G84" s="88">
        <f t="shared" si="3"/>
        <v>2.4300000000000002</v>
      </c>
    </row>
    <row r="85" spans="1:8" x14ac:dyDescent="0.25">
      <c r="A85" s="262"/>
      <c r="B85" s="127" t="s">
        <v>13</v>
      </c>
      <c r="C85" s="74" t="s">
        <v>50</v>
      </c>
      <c r="D85" s="99">
        <v>1.9400000000000001E-2</v>
      </c>
      <c r="E85" s="88">
        <f t="shared" si="2"/>
        <v>21.753802</v>
      </c>
      <c r="F85" s="245">
        <f>0.1*D85</f>
        <v>1.9400000000000001E-3</v>
      </c>
      <c r="G85" s="247">
        <f t="shared" si="3"/>
        <v>2.2400000000000002</v>
      </c>
      <c r="H85" s="310" t="s">
        <v>372</v>
      </c>
    </row>
    <row r="86" spans="1:8" x14ac:dyDescent="0.25">
      <c r="A86" s="262"/>
      <c r="B86" s="127" t="s">
        <v>15</v>
      </c>
      <c r="C86" s="74" t="s">
        <v>270</v>
      </c>
      <c r="D86" s="95">
        <f>D64*D85</f>
        <v>6.8792400000000017E-3</v>
      </c>
      <c r="E86" s="88">
        <f t="shared" si="2"/>
        <v>7.7138981892000018</v>
      </c>
      <c r="F86" s="245">
        <f>F64*F85</f>
        <v>6.9413200000000019E-4</v>
      </c>
      <c r="G86" s="246">
        <f t="shared" ref="G86" si="4">F86*$F$33</f>
        <v>0.80247906388000012</v>
      </c>
      <c r="H86" s="310"/>
    </row>
    <row r="87" spans="1:8" x14ac:dyDescent="0.25">
      <c r="A87" s="262"/>
      <c r="B87" s="127" t="s">
        <v>17</v>
      </c>
      <c r="C87" s="80" t="s">
        <v>85</v>
      </c>
      <c r="D87" s="95">
        <v>9.7000000000000003E-3</v>
      </c>
      <c r="E87" s="88">
        <f t="shared" si="2"/>
        <v>10.876901</v>
      </c>
      <c r="F87" s="95">
        <v>9.7000000000000003E-3</v>
      </c>
      <c r="G87" s="88">
        <f t="shared" si="3"/>
        <v>11.21</v>
      </c>
    </row>
    <row r="88" spans="1:8" x14ac:dyDescent="0.25">
      <c r="A88" s="262"/>
      <c r="B88" s="312" t="s">
        <v>51</v>
      </c>
      <c r="C88" s="312"/>
      <c r="D88" s="96">
        <f>SUM(D82:D87)</f>
        <v>4.3768560000000005E-2</v>
      </c>
      <c r="E88" s="89">
        <f>SUM(E82:E87)</f>
        <v>49.078999384799999</v>
      </c>
      <c r="F88" s="96">
        <f>SUM(F82:F87)</f>
        <v>1.5004408E-2</v>
      </c>
      <c r="G88" s="89">
        <f>SUM(G82:G87)</f>
        <v>17.342479063879999</v>
      </c>
    </row>
    <row r="89" spans="1:8" x14ac:dyDescent="0.25">
      <c r="A89" s="262"/>
      <c r="B89" s="336" t="s">
        <v>52</v>
      </c>
      <c r="C89" s="336"/>
      <c r="D89" s="87"/>
      <c r="E89" s="87"/>
      <c r="F89" s="87"/>
      <c r="G89" s="87"/>
    </row>
    <row r="90" spans="1:8" x14ac:dyDescent="0.25">
      <c r="A90" s="262"/>
      <c r="B90" s="124" t="s">
        <v>53</v>
      </c>
      <c r="C90" s="124" t="s">
        <v>54</v>
      </c>
      <c r="D90" s="124" t="s">
        <v>32</v>
      </c>
      <c r="E90" s="124" t="s">
        <v>6</v>
      </c>
      <c r="F90" s="124" t="s">
        <v>32</v>
      </c>
      <c r="G90" s="124" t="s">
        <v>6</v>
      </c>
    </row>
    <row r="91" spans="1:8" x14ac:dyDescent="0.25">
      <c r="A91" s="262"/>
      <c r="B91" s="127" t="s">
        <v>7</v>
      </c>
      <c r="C91" s="74" t="s">
        <v>229</v>
      </c>
      <c r="D91" s="240">
        <v>0.1111</v>
      </c>
      <c r="E91" s="88">
        <f>D91*$D$33</f>
        <v>124.579763</v>
      </c>
      <c r="F91" s="240">
        <v>0.1111</v>
      </c>
      <c r="G91" s="88">
        <f>ROUND(F91*$F$33,2)</f>
        <v>128.44</v>
      </c>
      <c r="H91" s="238"/>
    </row>
    <row r="92" spans="1:8" x14ac:dyDescent="0.25">
      <c r="A92" s="262"/>
      <c r="B92" s="127" t="s">
        <v>9</v>
      </c>
      <c r="C92" s="74" t="s">
        <v>55</v>
      </c>
      <c r="D92" s="240">
        <v>1.3899999999999999E-2</v>
      </c>
      <c r="E92" s="88">
        <f t="shared" ref="E92:E95" si="5">D92*$D$33</f>
        <v>15.586486999999998</v>
      </c>
      <c r="F92" s="240">
        <v>1.3899999999999999E-2</v>
      </c>
      <c r="G92" s="88">
        <f t="shared" ref="G92:G95" si="6">ROUND(F92*$F$33,2)</f>
        <v>16.07</v>
      </c>
    </row>
    <row r="93" spans="1:8" x14ac:dyDescent="0.25">
      <c r="A93" s="262"/>
      <c r="B93" s="127" t="s">
        <v>11</v>
      </c>
      <c r="C93" s="74" t="s">
        <v>230</v>
      </c>
      <c r="D93" s="241">
        <v>2.0000000000000001E-4</v>
      </c>
      <c r="E93" s="88">
        <f t="shared" si="5"/>
        <v>0.22426599999999999</v>
      </c>
      <c r="F93" s="241">
        <v>2.0000000000000001E-4</v>
      </c>
      <c r="G93" s="88">
        <f t="shared" si="6"/>
        <v>0.23</v>
      </c>
    </row>
    <row r="94" spans="1:8" x14ac:dyDescent="0.25">
      <c r="A94" s="262"/>
      <c r="B94" s="127" t="s">
        <v>13</v>
      </c>
      <c r="C94" s="74" t="s">
        <v>56</v>
      </c>
      <c r="D94" s="241">
        <v>2.8E-3</v>
      </c>
      <c r="E94" s="88">
        <f t="shared" si="5"/>
        <v>3.1397239999999997</v>
      </c>
      <c r="F94" s="241">
        <v>2.8E-3</v>
      </c>
      <c r="G94" s="88">
        <f t="shared" si="6"/>
        <v>3.24</v>
      </c>
    </row>
    <row r="95" spans="1:8" x14ac:dyDescent="0.25">
      <c r="A95" s="262"/>
      <c r="B95" s="127" t="s">
        <v>15</v>
      </c>
      <c r="C95" s="74" t="s">
        <v>57</v>
      </c>
      <c r="D95" s="240">
        <v>3.3E-3</v>
      </c>
      <c r="E95" s="88">
        <f t="shared" si="5"/>
        <v>3.7003889999999999</v>
      </c>
      <c r="F95" s="240">
        <v>3.3E-3</v>
      </c>
      <c r="G95" s="88">
        <f t="shared" si="6"/>
        <v>3.82</v>
      </c>
    </row>
    <row r="96" spans="1:8" x14ac:dyDescent="0.25">
      <c r="A96" s="262"/>
      <c r="B96" s="127" t="s">
        <v>17</v>
      </c>
      <c r="C96" s="74" t="s">
        <v>21</v>
      </c>
      <c r="D96" s="99"/>
      <c r="E96" s="88"/>
      <c r="F96" s="99"/>
      <c r="G96" s="88"/>
    </row>
    <row r="97" spans="1:7" x14ac:dyDescent="0.25">
      <c r="A97" s="262"/>
      <c r="B97" s="127"/>
      <c r="C97" s="79" t="s">
        <v>43</v>
      </c>
      <c r="D97" s="112">
        <f>SUM(D91:D96)</f>
        <v>0.1313</v>
      </c>
      <c r="E97" s="103">
        <f>SUM(E91:E96)</f>
        <v>147.23062899999999</v>
      </c>
      <c r="F97" s="112">
        <f>SUM(F91:F96)</f>
        <v>0.1313</v>
      </c>
      <c r="G97" s="103">
        <f>SUM(G91:G96)</f>
        <v>151.79999999999998</v>
      </c>
    </row>
    <row r="98" spans="1:7" x14ac:dyDescent="0.25">
      <c r="A98" s="262"/>
      <c r="B98" s="127" t="s">
        <v>17</v>
      </c>
      <c r="C98" s="74" t="s">
        <v>266</v>
      </c>
      <c r="D98" s="240">
        <f>D64*D97</f>
        <v>4.6558980000000014E-2</v>
      </c>
      <c r="E98" s="88">
        <f>D98*$D$33</f>
        <v>52.207981043400011</v>
      </c>
      <c r="F98" s="240">
        <f>F64*F97</f>
        <v>4.697914000000001E-2</v>
      </c>
      <c r="G98" s="88">
        <f>ROUND(F98*$F$33,2)</f>
        <v>54.31</v>
      </c>
    </row>
    <row r="99" spans="1:7" x14ac:dyDescent="0.25">
      <c r="A99" s="262"/>
      <c r="B99" s="330" t="s">
        <v>51</v>
      </c>
      <c r="C99" s="330"/>
      <c r="D99" s="96">
        <f>SUM(D97:D98)</f>
        <v>0.17785898</v>
      </c>
      <c r="E99" s="89">
        <f>SUM(E97:E98)</f>
        <v>199.43861004339999</v>
      </c>
      <c r="F99" s="96">
        <f>SUM(F97:F98)</f>
        <v>0.17827914</v>
      </c>
      <c r="G99" s="89">
        <f>SUM(G97:G98)</f>
        <v>206.10999999999999</v>
      </c>
    </row>
    <row r="100" spans="1:7" x14ac:dyDescent="0.25">
      <c r="A100" s="262"/>
      <c r="B100" s="322"/>
      <c r="C100" s="322"/>
      <c r="D100" s="73"/>
      <c r="E100" s="73"/>
      <c r="F100" s="73"/>
      <c r="G100" s="73"/>
    </row>
    <row r="101" spans="1:7" x14ac:dyDescent="0.25">
      <c r="A101" s="262"/>
      <c r="B101" s="311" t="s">
        <v>58</v>
      </c>
      <c r="C101" s="311"/>
      <c r="D101" s="87"/>
      <c r="E101" s="73"/>
      <c r="F101" s="87"/>
      <c r="G101" s="73"/>
    </row>
    <row r="102" spans="1:7" x14ac:dyDescent="0.25">
      <c r="A102" s="262"/>
      <c r="B102" s="350"/>
      <c r="C102" s="350"/>
      <c r="D102" s="73"/>
      <c r="E102" s="73"/>
      <c r="F102" s="73"/>
      <c r="G102" s="73"/>
    </row>
    <row r="103" spans="1:7" x14ac:dyDescent="0.25">
      <c r="A103" s="262"/>
      <c r="B103" s="124">
        <v>4</v>
      </c>
      <c r="C103" s="124" t="s">
        <v>59</v>
      </c>
      <c r="D103" s="124" t="s">
        <v>6</v>
      </c>
      <c r="E103" s="73"/>
      <c r="F103" s="124" t="s">
        <v>6</v>
      </c>
      <c r="G103" s="73"/>
    </row>
    <row r="104" spans="1:7" x14ac:dyDescent="0.25">
      <c r="A104" s="262"/>
      <c r="B104" s="127" t="s">
        <v>30</v>
      </c>
      <c r="C104" s="74" t="s">
        <v>93</v>
      </c>
      <c r="D104" s="122">
        <f>E64</f>
        <v>397.62361800000002</v>
      </c>
      <c r="E104" s="73"/>
      <c r="F104" s="122">
        <f>G64</f>
        <v>413.65</v>
      </c>
      <c r="G104" s="73"/>
    </row>
    <row r="105" spans="1:7" x14ac:dyDescent="0.25">
      <c r="A105" s="262"/>
      <c r="B105" s="127" t="s">
        <v>41</v>
      </c>
      <c r="C105" s="74" t="s">
        <v>94</v>
      </c>
      <c r="D105" s="122">
        <f>E74</f>
        <v>168.75574695979998</v>
      </c>
      <c r="E105" s="73"/>
      <c r="F105" s="122">
        <f>G74</f>
        <v>174.4</v>
      </c>
      <c r="G105" s="73"/>
    </row>
    <row r="106" spans="1:7" x14ac:dyDescent="0.25">
      <c r="A106" s="262"/>
      <c r="B106" s="127" t="s">
        <v>45</v>
      </c>
      <c r="C106" s="74" t="s">
        <v>46</v>
      </c>
      <c r="D106" s="122">
        <f>E79</f>
        <v>0</v>
      </c>
      <c r="E106" s="73"/>
      <c r="F106" s="122">
        <f>G79</f>
        <v>0</v>
      </c>
      <c r="G106" s="73"/>
    </row>
    <row r="107" spans="1:7" x14ac:dyDescent="0.25">
      <c r="A107" s="262"/>
      <c r="B107" s="127" t="s">
        <v>47</v>
      </c>
      <c r="C107" s="74" t="s">
        <v>60</v>
      </c>
      <c r="D107" s="122">
        <f>E88</f>
        <v>49.078999384799999</v>
      </c>
      <c r="E107" s="73"/>
      <c r="F107" s="122">
        <f>G88</f>
        <v>17.342479063879999</v>
      </c>
      <c r="G107" s="73"/>
    </row>
    <row r="108" spans="1:7" x14ac:dyDescent="0.25">
      <c r="A108" s="262"/>
      <c r="B108" s="127" t="s">
        <v>53</v>
      </c>
      <c r="C108" s="74" t="s">
        <v>61</v>
      </c>
      <c r="D108" s="122">
        <f>E99</f>
        <v>199.43861004339999</v>
      </c>
      <c r="E108" s="73"/>
      <c r="F108" s="122">
        <f>G99</f>
        <v>206.10999999999999</v>
      </c>
      <c r="G108" s="73"/>
    </row>
    <row r="109" spans="1:7" x14ac:dyDescent="0.25">
      <c r="A109" s="262"/>
      <c r="B109" s="127" t="s">
        <v>62</v>
      </c>
      <c r="C109" s="74" t="s">
        <v>63</v>
      </c>
      <c r="D109" s="123"/>
      <c r="E109" s="73"/>
      <c r="F109" s="123"/>
      <c r="G109" s="73"/>
    </row>
    <row r="110" spans="1:7" x14ac:dyDescent="0.25">
      <c r="A110" s="262"/>
      <c r="B110" s="330" t="s">
        <v>51</v>
      </c>
      <c r="C110" s="330"/>
      <c r="D110" s="105">
        <f>SUM(D104:D109)</f>
        <v>814.89697438799999</v>
      </c>
      <c r="E110" s="73"/>
      <c r="F110" s="105">
        <f>SUM(F104:F109)</f>
        <v>811.50247906387995</v>
      </c>
      <c r="G110" s="73"/>
    </row>
    <row r="111" spans="1:7" ht="15" customHeight="1" x14ac:dyDescent="0.25">
      <c r="A111" s="262"/>
      <c r="B111" s="331" t="s">
        <v>264</v>
      </c>
      <c r="C111" s="331"/>
      <c r="D111" s="82"/>
      <c r="E111" s="82"/>
      <c r="F111" s="82"/>
      <c r="G111" s="82"/>
    </row>
    <row r="112" spans="1:7" ht="15" customHeight="1" x14ac:dyDescent="0.25">
      <c r="A112" s="262"/>
      <c r="B112" s="331" t="s">
        <v>265</v>
      </c>
      <c r="C112" s="331"/>
      <c r="D112" s="82"/>
      <c r="E112" s="82"/>
      <c r="F112" s="82"/>
      <c r="G112" s="82"/>
    </row>
    <row r="113" spans="1:7" x14ac:dyDescent="0.25">
      <c r="A113" s="262"/>
      <c r="B113" s="335"/>
      <c r="C113" s="335"/>
      <c r="D113" s="77"/>
      <c r="E113" s="77"/>
      <c r="F113" s="77"/>
      <c r="G113" s="77"/>
    </row>
    <row r="114" spans="1:7" x14ac:dyDescent="0.25">
      <c r="A114" s="262"/>
      <c r="B114" s="311" t="s">
        <v>64</v>
      </c>
      <c r="C114" s="311"/>
      <c r="D114" s="87"/>
      <c r="E114" s="87"/>
      <c r="F114" s="87"/>
      <c r="G114" s="87"/>
    </row>
    <row r="115" spans="1:7" x14ac:dyDescent="0.25">
      <c r="B115" s="124">
        <v>5</v>
      </c>
      <c r="C115" s="124" t="s">
        <v>65</v>
      </c>
      <c r="D115" s="124" t="s">
        <v>32</v>
      </c>
      <c r="E115" s="124" t="s">
        <v>6</v>
      </c>
      <c r="F115" s="124" t="s">
        <v>32</v>
      </c>
      <c r="G115" s="124" t="s">
        <v>6</v>
      </c>
    </row>
    <row r="116" spans="1:7" x14ac:dyDescent="0.25">
      <c r="B116" s="127" t="s">
        <v>7</v>
      </c>
      <c r="C116" s="74" t="s">
        <v>66</v>
      </c>
      <c r="D116" s="100">
        <v>0.01</v>
      </c>
      <c r="E116" s="106">
        <f>SUM(D33+D43+D51+D110)*D116</f>
        <v>27.853022577213334</v>
      </c>
      <c r="F116" s="100">
        <v>0.01</v>
      </c>
      <c r="G116" s="106">
        <f>ROUND(SUM(F33+F43+F51+F110)*F116,2)</f>
        <v>28.61</v>
      </c>
    </row>
    <row r="117" spans="1:7" x14ac:dyDescent="0.25">
      <c r="B117" s="127" t="s">
        <v>9</v>
      </c>
      <c r="C117" s="76" t="s">
        <v>67</v>
      </c>
      <c r="D117" s="112">
        <v>0.14249999999999999</v>
      </c>
      <c r="E117" s="106"/>
      <c r="F117" s="112">
        <v>0.14249999999999999</v>
      </c>
      <c r="G117" s="106"/>
    </row>
    <row r="118" spans="1:7" x14ac:dyDescent="0.25">
      <c r="B118" s="127"/>
      <c r="C118" s="74" t="s">
        <v>259</v>
      </c>
      <c r="D118" s="100">
        <v>9.2499999999999999E-2</v>
      </c>
      <c r="E118" s="106">
        <f>ROUND((($D$134+$E$116+$E$122)*$D$118)/(1-$D$117),2)</f>
        <v>312.23</v>
      </c>
      <c r="F118" s="100">
        <v>9.2499999999999999E-2</v>
      </c>
      <c r="G118" s="120">
        <f>ROUND((($F$134+$G$116+$G$122)*$F$118)/(1-$F$117),2)</f>
        <v>320.70999999999998</v>
      </c>
    </row>
    <row r="119" spans="1:7" x14ac:dyDescent="0.25">
      <c r="B119" s="127"/>
      <c r="C119" s="74" t="s">
        <v>260</v>
      </c>
      <c r="D119" s="107">
        <v>0.05</v>
      </c>
      <c r="E119" s="106">
        <f>ROUND((($D$134+$E$116+$E$122)*$D$119)/(1-$D$117),2)</f>
        <v>168.77</v>
      </c>
      <c r="F119" s="107">
        <v>0.05</v>
      </c>
      <c r="G119" s="120">
        <f>ROUND((($F$134+$G$116+$G$122)*$F$119)/(1-$D$117),2)</f>
        <v>173.36</v>
      </c>
    </row>
    <row r="120" spans="1:7" x14ac:dyDescent="0.25">
      <c r="B120" s="127"/>
      <c r="C120" s="74" t="s">
        <v>261</v>
      </c>
      <c r="D120" s="95"/>
      <c r="E120" s="106"/>
      <c r="F120" s="95"/>
      <c r="G120" s="106"/>
    </row>
    <row r="121" spans="1:7" x14ac:dyDescent="0.25">
      <c r="B121" s="127"/>
      <c r="C121" s="74" t="s">
        <v>262</v>
      </c>
      <c r="D121" s="95"/>
      <c r="E121" s="106"/>
      <c r="F121" s="95"/>
      <c r="G121" s="106"/>
    </row>
    <row r="122" spans="1:7" x14ac:dyDescent="0.25">
      <c r="B122" s="127" t="s">
        <v>11</v>
      </c>
      <c r="C122" s="74" t="s">
        <v>263</v>
      </c>
      <c r="D122" s="108">
        <v>2.8899999999999999E-2</v>
      </c>
      <c r="E122" s="106">
        <f>SUM(E116+D110+D51+D43+D33)*D122</f>
        <v>81.300187600627993</v>
      </c>
      <c r="F122" s="108">
        <v>2.8899999999999999E-2</v>
      </c>
      <c r="G122" s="106">
        <f>ROUND(SUM(G116+F110+F51+F43+F33)*F122,2)</f>
        <v>83.51</v>
      </c>
    </row>
    <row r="123" spans="1:7" x14ac:dyDescent="0.25">
      <c r="B123" s="330" t="s">
        <v>40</v>
      </c>
      <c r="C123" s="330"/>
      <c r="D123" s="85"/>
      <c r="E123" s="105">
        <f>SUM(E116:E122)</f>
        <v>590.15321017784129</v>
      </c>
      <c r="F123" s="85"/>
      <c r="G123" s="105">
        <f>SUM(G116:G122)</f>
        <v>606.19000000000005</v>
      </c>
    </row>
    <row r="124" spans="1:7" x14ac:dyDescent="0.25">
      <c r="B124" s="323" t="s">
        <v>248</v>
      </c>
      <c r="C124" s="323"/>
      <c r="D124" s="87"/>
      <c r="E124" s="87"/>
      <c r="F124" s="87"/>
      <c r="G124" s="87"/>
    </row>
    <row r="125" spans="1:7" x14ac:dyDescent="0.25">
      <c r="B125" s="323" t="s">
        <v>249</v>
      </c>
      <c r="C125" s="323"/>
      <c r="D125" s="87"/>
      <c r="E125" s="87"/>
      <c r="F125" s="87"/>
      <c r="G125" s="87"/>
    </row>
    <row r="126" spans="1:7" x14ac:dyDescent="0.25">
      <c r="B126" s="322" t="s">
        <v>95</v>
      </c>
      <c r="C126" s="322"/>
      <c r="D126" s="109" t="s">
        <v>239</v>
      </c>
      <c r="E126" s="109">
        <f>1-0.1425</f>
        <v>0.85750000000000004</v>
      </c>
      <c r="F126" s="109" t="s">
        <v>239</v>
      </c>
      <c r="G126" s="109">
        <f>1-0.1425</f>
        <v>0.85750000000000004</v>
      </c>
    </row>
    <row r="127" spans="1:7" x14ac:dyDescent="0.25">
      <c r="B127" s="311" t="s">
        <v>68</v>
      </c>
      <c r="C127" s="311"/>
      <c r="D127" s="87"/>
      <c r="E127" s="87"/>
      <c r="F127" s="87"/>
      <c r="G127" s="87"/>
    </row>
    <row r="128" spans="1:7" x14ac:dyDescent="0.25">
      <c r="B128" s="311"/>
      <c r="C128" s="311"/>
      <c r="D128" s="73"/>
      <c r="E128" s="73"/>
      <c r="F128" s="73"/>
      <c r="G128" s="73"/>
    </row>
    <row r="129" spans="2:7" ht="15" customHeight="1" x14ac:dyDescent="0.25">
      <c r="B129" s="312" t="s">
        <v>69</v>
      </c>
      <c r="C129" s="312"/>
      <c r="D129" s="312" t="s">
        <v>70</v>
      </c>
      <c r="E129" s="312"/>
      <c r="F129" s="312" t="s">
        <v>70</v>
      </c>
      <c r="G129" s="312"/>
    </row>
    <row r="130" spans="2:7" x14ac:dyDescent="0.25">
      <c r="B130" s="127" t="s">
        <v>7</v>
      </c>
      <c r="C130" s="74" t="s">
        <v>254</v>
      </c>
      <c r="D130" s="315">
        <f>D33</f>
        <v>1121.33</v>
      </c>
      <c r="E130" s="316"/>
      <c r="F130" s="315">
        <f>F33</f>
        <v>1156.0899999999999</v>
      </c>
      <c r="G130" s="316"/>
    </row>
    <row r="131" spans="2:7" x14ac:dyDescent="0.25">
      <c r="B131" s="127" t="s">
        <v>9</v>
      </c>
      <c r="C131" s="74" t="s">
        <v>255</v>
      </c>
      <c r="D131" s="315">
        <f>D43</f>
        <v>787.47194999999999</v>
      </c>
      <c r="E131" s="316"/>
      <c r="F131" s="315">
        <f>F43</f>
        <v>831.75934999999993</v>
      </c>
      <c r="G131" s="316"/>
    </row>
    <row r="132" spans="2:7" x14ac:dyDescent="0.25">
      <c r="B132" s="127" t="s">
        <v>11</v>
      </c>
      <c r="C132" s="74" t="s">
        <v>256</v>
      </c>
      <c r="D132" s="315">
        <f>D51</f>
        <v>61.603333333333339</v>
      </c>
      <c r="E132" s="316"/>
      <c r="F132" s="315">
        <f>F51</f>
        <v>61.603333333333339</v>
      </c>
      <c r="G132" s="316"/>
    </row>
    <row r="133" spans="2:7" x14ac:dyDescent="0.25">
      <c r="B133" s="127" t="s">
        <v>13</v>
      </c>
      <c r="C133" s="74" t="s">
        <v>257</v>
      </c>
      <c r="D133" s="315">
        <f>D110</f>
        <v>814.89697438799999</v>
      </c>
      <c r="E133" s="316"/>
      <c r="F133" s="315">
        <f>F110</f>
        <v>811.50247906387995</v>
      </c>
      <c r="G133" s="316"/>
    </row>
    <row r="134" spans="2:7" ht="15" customHeight="1" x14ac:dyDescent="0.25">
      <c r="B134" s="317" t="s">
        <v>71</v>
      </c>
      <c r="C134" s="317"/>
      <c r="D134" s="318">
        <f>SUM(D130:D133)</f>
        <v>2785.3022577213333</v>
      </c>
      <c r="E134" s="319"/>
      <c r="F134" s="318">
        <f>SUM(F130:F133)</f>
        <v>2860.9551623972134</v>
      </c>
      <c r="G134" s="319"/>
    </row>
    <row r="135" spans="2:7" x14ac:dyDescent="0.25">
      <c r="B135" s="127" t="s">
        <v>15</v>
      </c>
      <c r="C135" s="74" t="s">
        <v>258</v>
      </c>
      <c r="D135" s="320">
        <f>E123</f>
        <v>590.15321017784129</v>
      </c>
      <c r="E135" s="321"/>
      <c r="F135" s="320">
        <f>G123</f>
        <v>606.19000000000005</v>
      </c>
      <c r="G135" s="321"/>
    </row>
    <row r="136" spans="2:7" ht="15" customHeight="1" x14ac:dyDescent="0.25">
      <c r="B136" s="312" t="s">
        <v>72</v>
      </c>
      <c r="C136" s="312"/>
      <c r="D136" s="313">
        <f>SUM(D134:D135)</f>
        <v>3375.4554678991744</v>
      </c>
      <c r="E136" s="314"/>
      <c r="F136" s="348">
        <f>SUM(F134:F135)</f>
        <v>3467.1451623972134</v>
      </c>
      <c r="G136" s="349"/>
    </row>
  </sheetData>
  <mergeCells count="80">
    <mergeCell ref="B126:C126"/>
    <mergeCell ref="D131:E131"/>
    <mergeCell ref="F131:G131"/>
    <mergeCell ref="F135:G135"/>
    <mergeCell ref="B136:C136"/>
    <mergeCell ref="D136:E136"/>
    <mergeCell ref="F136:G136"/>
    <mergeCell ref="F132:G132"/>
    <mergeCell ref="D133:E133"/>
    <mergeCell ref="F133:G133"/>
    <mergeCell ref="B134:C134"/>
    <mergeCell ref="D134:E134"/>
    <mergeCell ref="F134:G134"/>
    <mergeCell ref="D132:E132"/>
    <mergeCell ref="D135:E135"/>
    <mergeCell ref="B127:C127"/>
    <mergeCell ref="B128:C128"/>
    <mergeCell ref="F129:G129"/>
    <mergeCell ref="D130:E130"/>
    <mergeCell ref="F130:G130"/>
    <mergeCell ref="B129:C129"/>
    <mergeCell ref="D129:E129"/>
    <mergeCell ref="B18:C18"/>
    <mergeCell ref="B23:C23"/>
    <mergeCell ref="B33:C33"/>
    <mergeCell ref="B34:C34"/>
    <mergeCell ref="B43:C43"/>
    <mergeCell ref="B13:C13"/>
    <mergeCell ref="B14:C14"/>
    <mergeCell ref="B15:C15"/>
    <mergeCell ref="B16:C16"/>
    <mergeCell ref="B17:C17"/>
    <mergeCell ref="D9:E10"/>
    <mergeCell ref="F9:G10"/>
    <mergeCell ref="D11:E11"/>
    <mergeCell ref="F11:G11"/>
    <mergeCell ref="D12:E12"/>
    <mergeCell ref="F12:G12"/>
    <mergeCell ref="B1:C1"/>
    <mergeCell ref="D1:E1"/>
    <mergeCell ref="F1:G1"/>
    <mergeCell ref="B2:C3"/>
    <mergeCell ref="D2:E8"/>
    <mergeCell ref="F2:G8"/>
    <mergeCell ref="B4:C4"/>
    <mergeCell ref="B7:C7"/>
    <mergeCell ref="B8:C8"/>
    <mergeCell ref="B5:C5"/>
    <mergeCell ref="A1:A114"/>
    <mergeCell ref="B44:C44"/>
    <mergeCell ref="B45:C45"/>
    <mergeCell ref="B51:C51"/>
    <mergeCell ref="B52:C52"/>
    <mergeCell ref="B53:C53"/>
    <mergeCell ref="B54:C54"/>
    <mergeCell ref="B64:C64"/>
    <mergeCell ref="B68:C68"/>
    <mergeCell ref="B74:C74"/>
    <mergeCell ref="B75:E75"/>
    <mergeCell ref="B79:C79"/>
    <mergeCell ref="B80:C80"/>
    <mergeCell ref="B88:C88"/>
    <mergeCell ref="B89:C89"/>
    <mergeCell ref="B99:C99"/>
    <mergeCell ref="B65:C65"/>
    <mergeCell ref="B66:C66"/>
    <mergeCell ref="B67:C67"/>
    <mergeCell ref="B100:C100"/>
    <mergeCell ref="B101:C101"/>
    <mergeCell ref="H82:H83"/>
    <mergeCell ref="B114:C114"/>
    <mergeCell ref="B123:C123"/>
    <mergeCell ref="B124:C124"/>
    <mergeCell ref="B125:C125"/>
    <mergeCell ref="B102:C102"/>
    <mergeCell ref="B110:C110"/>
    <mergeCell ref="B111:C111"/>
    <mergeCell ref="B112:C112"/>
    <mergeCell ref="B113:C113"/>
    <mergeCell ref="H85:H86"/>
  </mergeCells>
  <printOptions horizontalCentered="1"/>
  <pageMargins left="0.6692913385826772" right="0.6692913385826772" top="2.0472440944881889" bottom="1.2598425196850394" header="0.19685039370078741" footer="0.19685039370078741"/>
  <pageSetup paperSize="9" scale="58" orientation="portrait"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topLeftCell="A39" zoomScaleNormal="100" zoomScaleSheetLayoutView="100" workbookViewId="0">
      <selection activeCell="H61" sqref="H61"/>
    </sheetView>
  </sheetViews>
  <sheetFormatPr defaultRowHeight="15" x14ac:dyDescent="0.25"/>
  <cols>
    <col min="1" max="1" width="4" customWidth="1"/>
    <col min="3" max="3" width="65.140625" customWidth="1"/>
    <col min="5" max="5" width="7.42578125" customWidth="1"/>
    <col min="6" max="6" width="11.7109375" customWidth="1"/>
    <col min="7" max="7" width="10.85546875" bestFit="1" customWidth="1"/>
    <col min="8" max="8" width="11.42578125" customWidth="1"/>
    <col min="9" max="9" width="11.85546875" customWidth="1"/>
    <col min="10" max="10" width="14.5703125" customWidth="1"/>
  </cols>
  <sheetData>
    <row r="1" spans="1:9" ht="15.75" thickBot="1" x14ac:dyDescent="0.3">
      <c r="A1" s="262"/>
    </row>
    <row r="2" spans="1:9" ht="39" customHeight="1" x14ac:dyDescent="0.25">
      <c r="A2" s="262"/>
      <c r="B2" s="177" t="s">
        <v>116</v>
      </c>
      <c r="C2" s="178" t="s">
        <v>162</v>
      </c>
      <c r="D2" s="178" t="s">
        <v>163</v>
      </c>
      <c r="E2" s="178" t="s">
        <v>164</v>
      </c>
      <c r="F2" s="178" t="s">
        <v>165</v>
      </c>
      <c r="G2" s="178" t="s">
        <v>166</v>
      </c>
      <c r="H2" s="178" t="s">
        <v>174</v>
      </c>
      <c r="I2" s="179" t="s">
        <v>173</v>
      </c>
    </row>
    <row r="3" spans="1:9" ht="24" x14ac:dyDescent="0.25">
      <c r="A3" s="262"/>
      <c r="B3" s="158">
        <v>1</v>
      </c>
      <c r="C3" s="173" t="s">
        <v>307</v>
      </c>
      <c r="D3" s="180" t="s">
        <v>167</v>
      </c>
      <c r="E3" s="174">
        <v>100</v>
      </c>
      <c r="F3" s="174">
        <v>1200</v>
      </c>
      <c r="G3" s="175">
        <v>9.5</v>
      </c>
      <c r="H3" s="175">
        <f>ROUND(E3*G3,2)</f>
        <v>950</v>
      </c>
      <c r="I3" s="176">
        <f>ROUND(G3*F3,2)</f>
        <v>11400</v>
      </c>
    </row>
    <row r="4" spans="1:9" ht="24" x14ac:dyDescent="0.25">
      <c r="A4" s="262"/>
      <c r="B4" s="159">
        <v>2</v>
      </c>
      <c r="C4" s="168" t="s">
        <v>308</v>
      </c>
      <c r="D4" s="181" t="s">
        <v>168</v>
      </c>
      <c r="E4" s="167">
        <v>100</v>
      </c>
      <c r="F4" s="167">
        <v>1200</v>
      </c>
      <c r="G4" s="169">
        <v>2.69</v>
      </c>
      <c r="H4" s="175">
        <f t="shared" ref="H4:H56" si="0">ROUND(E4*G4,2)</f>
        <v>269</v>
      </c>
      <c r="I4" s="176">
        <f t="shared" ref="I4:I56" si="1">ROUND(G4*F4,2)</f>
        <v>3228</v>
      </c>
    </row>
    <row r="5" spans="1:9" ht="14.25" customHeight="1" x14ac:dyDescent="0.25">
      <c r="A5" s="262"/>
      <c r="B5" s="159">
        <v>3</v>
      </c>
      <c r="C5" s="168" t="s">
        <v>309</v>
      </c>
      <c r="D5" s="181" t="s">
        <v>169</v>
      </c>
      <c r="E5" s="167">
        <v>3</v>
      </c>
      <c r="F5" s="167">
        <v>36</v>
      </c>
      <c r="G5" s="169">
        <v>23.6</v>
      </c>
      <c r="H5" s="175">
        <f t="shared" si="0"/>
        <v>70.8</v>
      </c>
      <c r="I5" s="176">
        <f t="shared" si="1"/>
        <v>849.6</v>
      </c>
    </row>
    <row r="6" spans="1:9" ht="14.25" customHeight="1" x14ac:dyDescent="0.25">
      <c r="A6" s="262"/>
      <c r="B6" s="159">
        <v>4</v>
      </c>
      <c r="C6" s="168" t="s">
        <v>310</v>
      </c>
      <c r="D6" s="181" t="s">
        <v>169</v>
      </c>
      <c r="E6" s="167">
        <v>36</v>
      </c>
      <c r="F6" s="167">
        <v>432</v>
      </c>
      <c r="G6" s="169">
        <v>1.26</v>
      </c>
      <c r="H6" s="175">
        <f t="shared" si="0"/>
        <v>45.36</v>
      </c>
      <c r="I6" s="176">
        <f t="shared" si="1"/>
        <v>544.32000000000005</v>
      </c>
    </row>
    <row r="7" spans="1:9" ht="24" x14ac:dyDescent="0.25">
      <c r="A7" s="262"/>
      <c r="B7" s="159">
        <v>5</v>
      </c>
      <c r="C7" s="168" t="s">
        <v>311</v>
      </c>
      <c r="D7" s="181" t="s">
        <v>170</v>
      </c>
      <c r="E7" s="167">
        <v>24</v>
      </c>
      <c r="F7" s="167">
        <v>288</v>
      </c>
      <c r="G7" s="169">
        <v>2.97</v>
      </c>
      <c r="H7" s="175">
        <f t="shared" si="0"/>
        <v>71.28</v>
      </c>
      <c r="I7" s="176">
        <f t="shared" si="1"/>
        <v>855.36</v>
      </c>
    </row>
    <row r="8" spans="1:9" ht="24" x14ac:dyDescent="0.25">
      <c r="A8" s="262"/>
      <c r="B8" s="159">
        <v>6</v>
      </c>
      <c r="C8" s="168" t="s">
        <v>312</v>
      </c>
      <c r="D8" s="181" t="s">
        <v>170</v>
      </c>
      <c r="E8" s="167">
        <v>48</v>
      </c>
      <c r="F8" s="167">
        <v>576</v>
      </c>
      <c r="G8" s="169">
        <v>1.95</v>
      </c>
      <c r="H8" s="175">
        <f t="shared" si="0"/>
        <v>93.6</v>
      </c>
      <c r="I8" s="176">
        <f t="shared" si="1"/>
        <v>1123.2</v>
      </c>
    </row>
    <row r="9" spans="1:9" ht="15.75" customHeight="1" x14ac:dyDescent="0.25">
      <c r="A9" s="262"/>
      <c r="B9" s="159">
        <v>7</v>
      </c>
      <c r="C9" s="168" t="s">
        <v>313</v>
      </c>
      <c r="D9" s="181" t="s">
        <v>169</v>
      </c>
      <c r="E9" s="167">
        <v>12</v>
      </c>
      <c r="F9" s="167">
        <v>144</v>
      </c>
      <c r="G9" s="169">
        <v>2.34</v>
      </c>
      <c r="H9" s="175">
        <f t="shared" si="0"/>
        <v>28.08</v>
      </c>
      <c r="I9" s="176">
        <f t="shared" si="1"/>
        <v>336.96</v>
      </c>
    </row>
    <row r="10" spans="1:9" ht="15.75" customHeight="1" x14ac:dyDescent="0.25">
      <c r="A10" s="262"/>
      <c r="B10" s="159">
        <v>8</v>
      </c>
      <c r="C10" s="168" t="s">
        <v>314</v>
      </c>
      <c r="D10" s="181" t="s">
        <v>169</v>
      </c>
      <c r="E10" s="167">
        <v>2</v>
      </c>
      <c r="F10" s="167">
        <v>24</v>
      </c>
      <c r="G10" s="169">
        <v>2.31</v>
      </c>
      <c r="H10" s="175">
        <f t="shared" si="0"/>
        <v>4.62</v>
      </c>
      <c r="I10" s="176">
        <f t="shared" si="1"/>
        <v>55.44</v>
      </c>
    </row>
    <row r="11" spans="1:9" ht="15.75" customHeight="1" x14ac:dyDescent="0.25">
      <c r="A11" s="262"/>
      <c r="B11" s="159">
        <v>9</v>
      </c>
      <c r="C11" s="168" t="s">
        <v>315</v>
      </c>
      <c r="D11" s="181" t="s">
        <v>169</v>
      </c>
      <c r="E11" s="167">
        <v>2</v>
      </c>
      <c r="F11" s="167">
        <v>24</v>
      </c>
      <c r="G11" s="169">
        <v>19.899999999999999</v>
      </c>
      <c r="H11" s="175">
        <f t="shared" si="0"/>
        <v>39.799999999999997</v>
      </c>
      <c r="I11" s="176">
        <f t="shared" si="1"/>
        <v>477.6</v>
      </c>
    </row>
    <row r="12" spans="1:9" ht="15.75" customHeight="1" x14ac:dyDescent="0.25">
      <c r="A12" s="262"/>
      <c r="B12" s="159">
        <v>10</v>
      </c>
      <c r="C12" s="168" t="s">
        <v>316</v>
      </c>
      <c r="D12" s="181" t="s">
        <v>169</v>
      </c>
      <c r="E12" s="167">
        <v>2</v>
      </c>
      <c r="F12" s="167">
        <v>24</v>
      </c>
      <c r="G12" s="169">
        <v>27.8</v>
      </c>
      <c r="H12" s="175">
        <f t="shared" si="0"/>
        <v>55.6</v>
      </c>
      <c r="I12" s="176">
        <f t="shared" si="1"/>
        <v>667.2</v>
      </c>
    </row>
    <row r="13" spans="1:9" ht="15.75" customHeight="1" x14ac:dyDescent="0.25">
      <c r="A13" s="262"/>
      <c r="B13" s="159">
        <v>11</v>
      </c>
      <c r="C13" s="168" t="s">
        <v>317</v>
      </c>
      <c r="D13" s="181" t="s">
        <v>169</v>
      </c>
      <c r="E13" s="167">
        <v>2</v>
      </c>
      <c r="F13" s="167">
        <v>24</v>
      </c>
      <c r="G13" s="169">
        <v>10.199999999999999</v>
      </c>
      <c r="H13" s="175">
        <f t="shared" si="0"/>
        <v>20.399999999999999</v>
      </c>
      <c r="I13" s="176">
        <f t="shared" si="1"/>
        <v>244.8</v>
      </c>
    </row>
    <row r="14" spans="1:9" ht="15.75" customHeight="1" x14ac:dyDescent="0.25">
      <c r="A14" s="262"/>
      <c r="B14" s="159">
        <v>12</v>
      </c>
      <c r="C14" s="168" t="s">
        <v>318</v>
      </c>
      <c r="D14" s="181" t="s">
        <v>169</v>
      </c>
      <c r="E14" s="167">
        <v>3</v>
      </c>
      <c r="F14" s="167">
        <v>36</v>
      </c>
      <c r="G14" s="169">
        <v>61</v>
      </c>
      <c r="H14" s="175">
        <f t="shared" si="0"/>
        <v>183</v>
      </c>
      <c r="I14" s="176">
        <f t="shared" si="1"/>
        <v>2196</v>
      </c>
    </row>
    <row r="15" spans="1:9" ht="100.5" customHeight="1" x14ac:dyDescent="0.25">
      <c r="A15" s="262"/>
      <c r="B15" s="159">
        <v>13</v>
      </c>
      <c r="C15" s="168" t="s">
        <v>319</v>
      </c>
      <c r="D15" s="181" t="s">
        <v>168</v>
      </c>
      <c r="E15" s="167">
        <v>400</v>
      </c>
      <c r="F15" s="167">
        <v>4800</v>
      </c>
      <c r="G15" s="169">
        <v>14.8</v>
      </c>
      <c r="H15" s="175">
        <f t="shared" si="0"/>
        <v>5920</v>
      </c>
      <c r="I15" s="176">
        <f t="shared" si="1"/>
        <v>71040</v>
      </c>
    </row>
    <row r="16" spans="1:9" ht="18" customHeight="1" x14ac:dyDescent="0.25">
      <c r="A16" s="262"/>
      <c r="B16" s="159">
        <v>14</v>
      </c>
      <c r="C16" s="168" t="s">
        <v>320</v>
      </c>
      <c r="D16" s="181" t="s">
        <v>169</v>
      </c>
      <c r="E16" s="167">
        <v>3</v>
      </c>
      <c r="F16" s="167">
        <v>36</v>
      </c>
      <c r="G16" s="170">
        <v>15</v>
      </c>
      <c r="H16" s="175">
        <f t="shared" si="0"/>
        <v>45</v>
      </c>
      <c r="I16" s="176">
        <f t="shared" si="1"/>
        <v>540</v>
      </c>
    </row>
    <row r="17" spans="1:9" ht="18" customHeight="1" x14ac:dyDescent="0.25">
      <c r="A17" s="262"/>
      <c r="B17" s="159">
        <v>15</v>
      </c>
      <c r="C17" s="168" t="s">
        <v>321</v>
      </c>
      <c r="D17" s="181" t="s">
        <v>169</v>
      </c>
      <c r="E17" s="167">
        <v>3</v>
      </c>
      <c r="F17" s="167">
        <v>36</v>
      </c>
      <c r="G17" s="170">
        <v>39</v>
      </c>
      <c r="H17" s="175">
        <f t="shared" si="0"/>
        <v>117</v>
      </c>
      <c r="I17" s="176">
        <f t="shared" si="1"/>
        <v>1404</v>
      </c>
    </row>
    <row r="18" spans="1:9" ht="29.25" customHeight="1" x14ac:dyDescent="0.25">
      <c r="A18" s="262"/>
      <c r="B18" s="159">
        <v>16</v>
      </c>
      <c r="C18" s="168" t="s">
        <v>322</v>
      </c>
      <c r="D18" s="181" t="s">
        <v>169</v>
      </c>
      <c r="E18" s="167">
        <v>30</v>
      </c>
      <c r="F18" s="167">
        <v>360</v>
      </c>
      <c r="G18" s="169">
        <v>6.5</v>
      </c>
      <c r="H18" s="175">
        <f t="shared" si="0"/>
        <v>195</v>
      </c>
      <c r="I18" s="176">
        <f t="shared" si="1"/>
        <v>2340</v>
      </c>
    </row>
    <row r="19" spans="1:9" ht="17.25" customHeight="1" x14ac:dyDescent="0.25">
      <c r="A19" s="262"/>
      <c r="B19" s="159">
        <v>17</v>
      </c>
      <c r="C19" s="168" t="s">
        <v>323</v>
      </c>
      <c r="D19" s="181" t="s">
        <v>169</v>
      </c>
      <c r="E19" s="167">
        <v>24</v>
      </c>
      <c r="F19" s="167">
        <v>288</v>
      </c>
      <c r="G19" s="169">
        <v>0.65</v>
      </c>
      <c r="H19" s="175">
        <f t="shared" si="0"/>
        <v>15.6</v>
      </c>
      <c r="I19" s="176">
        <f t="shared" si="1"/>
        <v>187.2</v>
      </c>
    </row>
    <row r="20" spans="1:9" ht="17.25" customHeight="1" x14ac:dyDescent="0.25">
      <c r="A20" s="262"/>
      <c r="B20" s="159">
        <v>18</v>
      </c>
      <c r="C20" s="168" t="s">
        <v>324</v>
      </c>
      <c r="D20" s="181" t="s">
        <v>169</v>
      </c>
      <c r="E20" s="167">
        <v>24</v>
      </c>
      <c r="F20" s="167">
        <v>288</v>
      </c>
      <c r="G20" s="169">
        <v>0.95</v>
      </c>
      <c r="H20" s="175">
        <f t="shared" si="0"/>
        <v>22.8</v>
      </c>
      <c r="I20" s="176">
        <f t="shared" si="1"/>
        <v>273.60000000000002</v>
      </c>
    </row>
    <row r="21" spans="1:9" ht="25.5" customHeight="1" x14ac:dyDescent="0.25">
      <c r="A21" s="262"/>
      <c r="B21" s="159">
        <v>19</v>
      </c>
      <c r="C21" s="168" t="s">
        <v>325</v>
      </c>
      <c r="D21" s="181" t="s">
        <v>169</v>
      </c>
      <c r="E21" s="167">
        <v>3</v>
      </c>
      <c r="F21" s="167">
        <v>36</v>
      </c>
      <c r="G21" s="169">
        <v>7</v>
      </c>
      <c r="H21" s="175">
        <f t="shared" si="0"/>
        <v>21</v>
      </c>
      <c r="I21" s="176">
        <f t="shared" si="1"/>
        <v>252</v>
      </c>
    </row>
    <row r="22" spans="1:9" ht="51" customHeight="1" x14ac:dyDescent="0.25">
      <c r="A22" s="262"/>
      <c r="B22" s="159">
        <v>20</v>
      </c>
      <c r="C22" s="168" t="s">
        <v>326</v>
      </c>
      <c r="D22" s="181" t="s">
        <v>171</v>
      </c>
      <c r="E22" s="167">
        <v>30</v>
      </c>
      <c r="F22" s="167">
        <v>360</v>
      </c>
      <c r="G22" s="169">
        <v>45</v>
      </c>
      <c r="H22" s="175">
        <f t="shared" si="0"/>
        <v>1350</v>
      </c>
      <c r="I22" s="176">
        <f t="shared" si="1"/>
        <v>16200</v>
      </c>
    </row>
    <row r="23" spans="1:9" ht="57" customHeight="1" x14ac:dyDescent="0.25">
      <c r="A23" s="262"/>
      <c r="B23" s="159">
        <v>21</v>
      </c>
      <c r="C23" s="168" t="s">
        <v>327</v>
      </c>
      <c r="D23" s="181" t="s">
        <v>171</v>
      </c>
      <c r="E23" s="167">
        <v>8</v>
      </c>
      <c r="F23" s="167">
        <v>96</v>
      </c>
      <c r="G23" s="169">
        <v>41</v>
      </c>
      <c r="H23" s="175">
        <f t="shared" si="0"/>
        <v>328</v>
      </c>
      <c r="I23" s="176">
        <f t="shared" si="1"/>
        <v>3936</v>
      </c>
    </row>
    <row r="24" spans="1:9" ht="24.75" customHeight="1" x14ac:dyDescent="0.25">
      <c r="A24" s="262"/>
      <c r="B24" s="159">
        <v>22</v>
      </c>
      <c r="C24" s="168" t="s">
        <v>328</v>
      </c>
      <c r="D24" s="181" t="s">
        <v>169</v>
      </c>
      <c r="E24" s="167">
        <v>144</v>
      </c>
      <c r="F24" s="167">
        <v>1728</v>
      </c>
      <c r="G24" s="169">
        <v>2.74</v>
      </c>
      <c r="H24" s="175">
        <f t="shared" si="0"/>
        <v>394.56</v>
      </c>
      <c r="I24" s="176">
        <f t="shared" si="1"/>
        <v>4734.72</v>
      </c>
    </row>
    <row r="25" spans="1:9" ht="15" customHeight="1" x14ac:dyDescent="0.25">
      <c r="A25" s="262"/>
      <c r="B25" s="159">
        <v>23</v>
      </c>
      <c r="C25" s="168" t="s">
        <v>329</v>
      </c>
      <c r="D25" s="181" t="s">
        <v>169</v>
      </c>
      <c r="E25" s="167">
        <v>1</v>
      </c>
      <c r="F25" s="167">
        <v>12</v>
      </c>
      <c r="G25" s="169">
        <v>2.2400000000000002</v>
      </c>
      <c r="H25" s="175">
        <f t="shared" si="0"/>
        <v>2.2400000000000002</v>
      </c>
      <c r="I25" s="176">
        <f t="shared" si="1"/>
        <v>26.88</v>
      </c>
    </row>
    <row r="26" spans="1:9" ht="45" customHeight="1" x14ac:dyDescent="0.25">
      <c r="A26" s="262"/>
      <c r="B26" s="159">
        <v>24</v>
      </c>
      <c r="C26" s="168" t="s">
        <v>330</v>
      </c>
      <c r="D26" s="181" t="s">
        <v>169</v>
      </c>
      <c r="E26" s="167">
        <v>120</v>
      </c>
      <c r="F26" s="167">
        <v>1440</v>
      </c>
      <c r="G26" s="170">
        <v>0.8</v>
      </c>
      <c r="H26" s="175">
        <f t="shared" si="0"/>
        <v>96</v>
      </c>
      <c r="I26" s="176">
        <f t="shared" si="1"/>
        <v>1152</v>
      </c>
    </row>
    <row r="27" spans="1:9" ht="42.75" customHeight="1" x14ac:dyDescent="0.25">
      <c r="A27" s="262"/>
      <c r="B27" s="159">
        <v>25</v>
      </c>
      <c r="C27" s="168" t="s">
        <v>331</v>
      </c>
      <c r="D27" s="181" t="s">
        <v>169</v>
      </c>
      <c r="E27" s="167">
        <v>3</v>
      </c>
      <c r="F27" s="167">
        <v>36</v>
      </c>
      <c r="G27" s="170">
        <v>45</v>
      </c>
      <c r="H27" s="175">
        <f t="shared" si="0"/>
        <v>135</v>
      </c>
      <c r="I27" s="176">
        <f t="shared" si="1"/>
        <v>1620</v>
      </c>
    </row>
    <row r="28" spans="1:9" ht="17.25" customHeight="1" x14ac:dyDescent="0.25">
      <c r="A28" s="262"/>
      <c r="B28" s="159">
        <v>26</v>
      </c>
      <c r="C28" s="168" t="s">
        <v>332</v>
      </c>
      <c r="D28" s="181" t="s">
        <v>167</v>
      </c>
      <c r="E28" s="167">
        <v>28</v>
      </c>
      <c r="F28" s="167">
        <v>336</v>
      </c>
      <c r="G28" s="170">
        <v>0.62</v>
      </c>
      <c r="H28" s="175">
        <f t="shared" si="0"/>
        <v>17.36</v>
      </c>
      <c r="I28" s="176">
        <f t="shared" si="1"/>
        <v>208.32</v>
      </c>
    </row>
    <row r="29" spans="1:9" ht="27" customHeight="1" x14ac:dyDescent="0.25">
      <c r="A29" s="262"/>
      <c r="B29" s="159">
        <v>27</v>
      </c>
      <c r="C29" s="168" t="s">
        <v>333</v>
      </c>
      <c r="D29" s="181" t="s">
        <v>169</v>
      </c>
      <c r="E29" s="167">
        <v>120</v>
      </c>
      <c r="F29" s="167">
        <v>1440</v>
      </c>
      <c r="G29" s="170">
        <v>0.73</v>
      </c>
      <c r="H29" s="175">
        <f t="shared" si="0"/>
        <v>87.6</v>
      </c>
      <c r="I29" s="176">
        <f t="shared" si="1"/>
        <v>1051.2</v>
      </c>
    </row>
    <row r="30" spans="1:9" ht="27.75" customHeight="1" x14ac:dyDescent="0.25">
      <c r="A30" s="262"/>
      <c r="B30" s="159">
        <v>28</v>
      </c>
      <c r="C30" s="168" t="s">
        <v>334</v>
      </c>
      <c r="D30" s="181" t="s">
        <v>169</v>
      </c>
      <c r="E30" s="167">
        <v>5</v>
      </c>
      <c r="F30" s="167">
        <v>60</v>
      </c>
      <c r="G30" s="170">
        <v>2.8</v>
      </c>
      <c r="H30" s="175">
        <f t="shared" si="0"/>
        <v>14</v>
      </c>
      <c r="I30" s="176">
        <f t="shared" si="1"/>
        <v>168</v>
      </c>
    </row>
    <row r="31" spans="1:9" ht="25.5" customHeight="1" x14ac:dyDescent="0.25">
      <c r="A31" s="262"/>
      <c r="B31" s="159">
        <v>29</v>
      </c>
      <c r="C31" s="168" t="s">
        <v>335</v>
      </c>
      <c r="D31" s="181" t="s">
        <v>169</v>
      </c>
      <c r="E31" s="167">
        <v>5</v>
      </c>
      <c r="F31" s="167">
        <v>60</v>
      </c>
      <c r="G31" s="170">
        <v>3.6</v>
      </c>
      <c r="H31" s="175">
        <f t="shared" si="0"/>
        <v>18</v>
      </c>
      <c r="I31" s="176">
        <f t="shared" si="1"/>
        <v>216</v>
      </c>
    </row>
    <row r="32" spans="1:9" ht="18" customHeight="1" x14ac:dyDescent="0.25">
      <c r="A32" s="262"/>
      <c r="B32" s="159">
        <v>30</v>
      </c>
      <c r="C32" s="168" t="s">
        <v>336</v>
      </c>
      <c r="D32" s="181" t="s">
        <v>169</v>
      </c>
      <c r="E32" s="167">
        <v>5</v>
      </c>
      <c r="F32" s="167">
        <v>60</v>
      </c>
      <c r="G32" s="170">
        <v>3.6</v>
      </c>
      <c r="H32" s="175">
        <f t="shared" si="0"/>
        <v>18</v>
      </c>
      <c r="I32" s="176">
        <f t="shared" si="1"/>
        <v>216</v>
      </c>
    </row>
    <row r="33" spans="1:10" ht="42" customHeight="1" x14ac:dyDescent="0.25">
      <c r="A33" s="262"/>
      <c r="B33" s="159">
        <v>31</v>
      </c>
      <c r="C33" s="168" t="s">
        <v>337</v>
      </c>
      <c r="D33" s="181" t="s">
        <v>169</v>
      </c>
      <c r="E33" s="167">
        <v>8</v>
      </c>
      <c r="F33" s="167">
        <v>96</v>
      </c>
      <c r="G33" s="170">
        <v>13.95</v>
      </c>
      <c r="H33" s="175">
        <f t="shared" si="0"/>
        <v>111.6</v>
      </c>
      <c r="I33" s="176">
        <f t="shared" si="1"/>
        <v>1339.2</v>
      </c>
    </row>
    <row r="34" spans="1:10" ht="42" customHeight="1" x14ac:dyDescent="0.25">
      <c r="A34" s="262"/>
      <c r="B34" s="159">
        <v>32</v>
      </c>
      <c r="C34" s="168" t="s">
        <v>338</v>
      </c>
      <c r="D34" s="181" t="s">
        <v>169</v>
      </c>
      <c r="E34" s="167">
        <v>8</v>
      </c>
      <c r="F34" s="167">
        <v>96</v>
      </c>
      <c r="G34" s="170">
        <v>45</v>
      </c>
      <c r="H34" s="175">
        <f t="shared" si="0"/>
        <v>360</v>
      </c>
      <c r="I34" s="176">
        <f t="shared" si="1"/>
        <v>4320</v>
      </c>
    </row>
    <row r="35" spans="1:10" ht="41.25" customHeight="1" x14ac:dyDescent="0.25">
      <c r="A35" s="262"/>
      <c r="B35" s="159">
        <v>33</v>
      </c>
      <c r="C35" s="168" t="s">
        <v>339</v>
      </c>
      <c r="D35" s="181" t="s">
        <v>169</v>
      </c>
      <c r="E35" s="167">
        <v>8</v>
      </c>
      <c r="F35" s="167">
        <v>96</v>
      </c>
      <c r="G35" s="170">
        <v>34.5</v>
      </c>
      <c r="H35" s="175">
        <f t="shared" si="0"/>
        <v>276</v>
      </c>
      <c r="I35" s="176">
        <f t="shared" si="1"/>
        <v>3312</v>
      </c>
    </row>
    <row r="36" spans="1:10" ht="40.5" customHeight="1" x14ac:dyDescent="0.25">
      <c r="A36" s="262"/>
      <c r="B36" s="159">
        <v>34</v>
      </c>
      <c r="C36" s="168" t="s">
        <v>340</v>
      </c>
      <c r="D36" s="181" t="s">
        <v>169</v>
      </c>
      <c r="E36" s="167">
        <v>8</v>
      </c>
      <c r="F36" s="167">
        <v>96</v>
      </c>
      <c r="G36" s="170">
        <v>23</v>
      </c>
      <c r="H36" s="175">
        <f t="shared" si="0"/>
        <v>184</v>
      </c>
      <c r="I36" s="176">
        <f t="shared" si="1"/>
        <v>2208</v>
      </c>
    </row>
    <row r="37" spans="1:10" ht="24" customHeight="1" x14ac:dyDescent="0.25">
      <c r="A37" s="262"/>
      <c r="B37" s="159">
        <v>35</v>
      </c>
      <c r="C37" s="168" t="s">
        <v>341</v>
      </c>
      <c r="D37" s="181" t="s">
        <v>169</v>
      </c>
      <c r="E37" s="167">
        <v>3</v>
      </c>
      <c r="F37" s="167">
        <v>36</v>
      </c>
      <c r="G37" s="170">
        <v>30.2</v>
      </c>
      <c r="H37" s="175">
        <f t="shared" si="0"/>
        <v>90.6</v>
      </c>
      <c r="I37" s="176">
        <f t="shared" si="1"/>
        <v>1087.2</v>
      </c>
    </row>
    <row r="38" spans="1:10" ht="18" customHeight="1" x14ac:dyDescent="0.25">
      <c r="A38" s="262"/>
      <c r="B38" s="159">
        <v>36</v>
      </c>
      <c r="C38" s="168" t="s">
        <v>342</v>
      </c>
      <c r="D38" s="181" t="s">
        <v>169</v>
      </c>
      <c r="E38" s="167">
        <v>3</v>
      </c>
      <c r="F38" s="167">
        <v>36</v>
      </c>
      <c r="G38" s="170">
        <v>43</v>
      </c>
      <c r="H38" s="175">
        <f t="shared" si="0"/>
        <v>129</v>
      </c>
      <c r="I38" s="176">
        <f t="shared" si="1"/>
        <v>1548</v>
      </c>
    </row>
    <row r="39" spans="1:10" ht="27" customHeight="1" x14ac:dyDescent="0.25">
      <c r="A39" s="262"/>
      <c r="B39" s="159">
        <v>37</v>
      </c>
      <c r="C39" s="168" t="s">
        <v>343</v>
      </c>
      <c r="D39" s="181" t="s">
        <v>169</v>
      </c>
      <c r="E39" s="167">
        <v>24</v>
      </c>
      <c r="F39" s="167">
        <v>288</v>
      </c>
      <c r="G39" s="170">
        <v>1.65</v>
      </c>
      <c r="H39" s="175">
        <f t="shared" si="0"/>
        <v>39.6</v>
      </c>
      <c r="I39" s="176">
        <f t="shared" si="1"/>
        <v>475.2</v>
      </c>
    </row>
    <row r="40" spans="1:10" ht="18.75" customHeight="1" x14ac:dyDescent="0.25">
      <c r="A40" s="262"/>
      <c r="B40" s="159">
        <v>38</v>
      </c>
      <c r="C40" s="171" t="s">
        <v>344</v>
      </c>
      <c r="D40" s="182" t="s">
        <v>169</v>
      </c>
      <c r="E40" s="172">
        <v>2</v>
      </c>
      <c r="F40" s="172">
        <v>24</v>
      </c>
      <c r="G40" s="170">
        <v>49.05</v>
      </c>
      <c r="H40" s="175">
        <f t="shared" si="0"/>
        <v>98.1</v>
      </c>
      <c r="I40" s="176">
        <f t="shared" si="1"/>
        <v>1177.2</v>
      </c>
      <c r="J40" s="2"/>
    </row>
    <row r="41" spans="1:10" ht="30.75" customHeight="1" x14ac:dyDescent="0.25">
      <c r="A41" s="262"/>
      <c r="B41" s="159">
        <v>39</v>
      </c>
      <c r="C41" s="171" t="s">
        <v>345</v>
      </c>
      <c r="D41" s="182" t="s">
        <v>169</v>
      </c>
      <c r="E41" s="172">
        <v>2</v>
      </c>
      <c r="F41" s="172">
        <v>24</v>
      </c>
      <c r="G41" s="170">
        <v>2.2000000000000002</v>
      </c>
      <c r="H41" s="175">
        <f t="shared" si="0"/>
        <v>4.4000000000000004</v>
      </c>
      <c r="I41" s="176">
        <f t="shared" si="1"/>
        <v>52.8</v>
      </c>
    </row>
    <row r="42" spans="1:10" ht="32.25" customHeight="1" x14ac:dyDescent="0.25">
      <c r="A42" s="262"/>
      <c r="B42" s="159">
        <v>40</v>
      </c>
      <c r="C42" s="168" t="s">
        <v>346</v>
      </c>
      <c r="D42" s="181" t="s">
        <v>169</v>
      </c>
      <c r="E42" s="167">
        <v>50</v>
      </c>
      <c r="F42" s="167">
        <v>600</v>
      </c>
      <c r="G42" s="170">
        <v>1.3</v>
      </c>
      <c r="H42" s="175">
        <f t="shared" si="0"/>
        <v>65</v>
      </c>
      <c r="I42" s="176">
        <f t="shared" si="1"/>
        <v>780</v>
      </c>
    </row>
    <row r="43" spans="1:10" ht="48.75" customHeight="1" x14ac:dyDescent="0.25">
      <c r="A43" s="262"/>
      <c r="B43" s="159">
        <v>41</v>
      </c>
      <c r="C43" s="168" t="s">
        <v>347</v>
      </c>
      <c r="D43" s="181" t="s">
        <v>169</v>
      </c>
      <c r="E43" s="167">
        <v>36</v>
      </c>
      <c r="F43" s="167">
        <v>432</v>
      </c>
      <c r="G43" s="170">
        <v>1.2</v>
      </c>
      <c r="H43" s="175">
        <f t="shared" si="0"/>
        <v>43.2</v>
      </c>
      <c r="I43" s="176">
        <f t="shared" si="1"/>
        <v>518.4</v>
      </c>
    </row>
    <row r="44" spans="1:10" ht="27.75" customHeight="1" x14ac:dyDescent="0.25">
      <c r="A44" s="262"/>
      <c r="B44" s="159">
        <v>42</v>
      </c>
      <c r="C44" s="168" t="s">
        <v>348</v>
      </c>
      <c r="D44" s="181" t="s">
        <v>169</v>
      </c>
      <c r="E44" s="167">
        <v>40</v>
      </c>
      <c r="F44" s="167">
        <v>480</v>
      </c>
      <c r="G44" s="170">
        <v>1.2</v>
      </c>
      <c r="H44" s="175">
        <f t="shared" si="0"/>
        <v>48</v>
      </c>
      <c r="I44" s="176">
        <f t="shared" si="1"/>
        <v>576</v>
      </c>
    </row>
    <row r="45" spans="1:10" ht="22.5" customHeight="1" x14ac:dyDescent="0.25">
      <c r="A45" s="262"/>
      <c r="B45" s="159">
        <v>43</v>
      </c>
      <c r="C45" s="168" t="s">
        <v>349</v>
      </c>
      <c r="D45" s="181" t="s">
        <v>169</v>
      </c>
      <c r="E45" s="167">
        <v>2</v>
      </c>
      <c r="F45" s="167">
        <v>24</v>
      </c>
      <c r="G45" s="170">
        <v>12.99</v>
      </c>
      <c r="H45" s="175">
        <f t="shared" si="0"/>
        <v>25.98</v>
      </c>
      <c r="I45" s="176">
        <f t="shared" si="1"/>
        <v>311.76</v>
      </c>
    </row>
    <row r="46" spans="1:10" ht="17.25" customHeight="1" x14ac:dyDescent="0.25">
      <c r="A46" s="262"/>
      <c r="B46" s="159">
        <v>44</v>
      </c>
      <c r="C46" s="168" t="s">
        <v>350</v>
      </c>
      <c r="D46" s="181" t="s">
        <v>169</v>
      </c>
      <c r="E46" s="167">
        <v>2</v>
      </c>
      <c r="F46" s="167">
        <v>24</v>
      </c>
      <c r="G46" s="169">
        <v>33</v>
      </c>
      <c r="H46" s="175">
        <f t="shared" si="0"/>
        <v>66</v>
      </c>
      <c r="I46" s="176">
        <f t="shared" si="1"/>
        <v>792</v>
      </c>
    </row>
    <row r="47" spans="1:10" ht="17.25" customHeight="1" x14ac:dyDescent="0.25">
      <c r="A47" s="262"/>
      <c r="B47" s="159">
        <v>45</v>
      </c>
      <c r="C47" s="168" t="s">
        <v>351</v>
      </c>
      <c r="D47" s="181" t="s">
        <v>169</v>
      </c>
      <c r="E47" s="167">
        <v>2</v>
      </c>
      <c r="F47" s="167">
        <v>24</v>
      </c>
      <c r="G47" s="169">
        <v>3.5</v>
      </c>
      <c r="H47" s="175">
        <f t="shared" si="0"/>
        <v>7</v>
      </c>
      <c r="I47" s="176">
        <f t="shared" si="1"/>
        <v>84</v>
      </c>
      <c r="J47" s="2"/>
    </row>
    <row r="48" spans="1:10" ht="17.25" customHeight="1" x14ac:dyDescent="0.25">
      <c r="A48" s="262"/>
      <c r="B48" s="159">
        <v>46</v>
      </c>
      <c r="C48" s="168" t="s">
        <v>352</v>
      </c>
      <c r="D48" s="181" t="s">
        <v>169</v>
      </c>
      <c r="E48" s="167">
        <v>4</v>
      </c>
      <c r="F48" s="167">
        <v>48</v>
      </c>
      <c r="G48" s="169">
        <v>2.89</v>
      </c>
      <c r="H48" s="175">
        <f t="shared" si="0"/>
        <v>11.56</v>
      </c>
      <c r="I48" s="176">
        <f t="shared" si="1"/>
        <v>138.72</v>
      </c>
    </row>
    <row r="49" spans="1:10" ht="40.5" customHeight="1" x14ac:dyDescent="0.25">
      <c r="A49" s="262"/>
      <c r="B49" s="159">
        <v>47</v>
      </c>
      <c r="C49" s="168" t="s">
        <v>353</v>
      </c>
      <c r="D49" s="181" t="s">
        <v>169</v>
      </c>
      <c r="E49" s="167">
        <v>100</v>
      </c>
      <c r="F49" s="167">
        <v>1200</v>
      </c>
      <c r="G49" s="169">
        <v>2.63</v>
      </c>
      <c r="H49" s="175">
        <f t="shared" si="0"/>
        <v>263</v>
      </c>
      <c r="I49" s="176">
        <f t="shared" si="1"/>
        <v>3156</v>
      </c>
    </row>
    <row r="50" spans="1:10" ht="44.25" customHeight="1" x14ac:dyDescent="0.25">
      <c r="A50" s="262"/>
      <c r="B50" s="159">
        <v>48</v>
      </c>
      <c r="C50" s="168" t="s">
        <v>354</v>
      </c>
      <c r="D50" s="181" t="s">
        <v>167</v>
      </c>
      <c r="E50" s="167">
        <v>24</v>
      </c>
      <c r="F50" s="167">
        <v>288</v>
      </c>
      <c r="G50" s="169">
        <v>2.4</v>
      </c>
      <c r="H50" s="175">
        <f t="shared" si="0"/>
        <v>57.6</v>
      </c>
      <c r="I50" s="176">
        <f t="shared" si="1"/>
        <v>691.2</v>
      </c>
    </row>
    <row r="51" spans="1:10" ht="24" customHeight="1" x14ac:dyDescent="0.25">
      <c r="A51" s="262"/>
      <c r="B51" s="159">
        <v>49</v>
      </c>
      <c r="C51" s="168" t="s">
        <v>355</v>
      </c>
      <c r="D51" s="181" t="s">
        <v>167</v>
      </c>
      <c r="E51" s="167">
        <v>5</v>
      </c>
      <c r="F51" s="167">
        <v>60</v>
      </c>
      <c r="G51" s="169">
        <v>8.8000000000000007</v>
      </c>
      <c r="H51" s="175">
        <f t="shared" si="0"/>
        <v>44</v>
      </c>
      <c r="I51" s="176">
        <f t="shared" si="1"/>
        <v>528</v>
      </c>
    </row>
    <row r="52" spans="1:10" ht="16.5" customHeight="1" x14ac:dyDescent="0.25">
      <c r="A52" s="262"/>
      <c r="B52" s="159">
        <v>50</v>
      </c>
      <c r="C52" s="168" t="s">
        <v>356</v>
      </c>
      <c r="D52" s="181" t="s">
        <v>169</v>
      </c>
      <c r="E52" s="167">
        <v>24</v>
      </c>
      <c r="F52" s="167">
        <v>288</v>
      </c>
      <c r="G52" s="169">
        <v>2.2999999999999998</v>
      </c>
      <c r="H52" s="175">
        <f t="shared" si="0"/>
        <v>55.2</v>
      </c>
      <c r="I52" s="176">
        <f t="shared" si="1"/>
        <v>662.4</v>
      </c>
    </row>
    <row r="53" spans="1:10" ht="22.5" customHeight="1" x14ac:dyDescent="0.25">
      <c r="A53" s="262"/>
      <c r="B53" s="159">
        <v>51</v>
      </c>
      <c r="C53" s="168" t="s">
        <v>357</v>
      </c>
      <c r="D53" s="181" t="s">
        <v>169</v>
      </c>
      <c r="E53" s="167">
        <v>4</v>
      </c>
      <c r="F53" s="167">
        <v>48</v>
      </c>
      <c r="G53" s="169">
        <v>3.47</v>
      </c>
      <c r="H53" s="175">
        <f t="shared" si="0"/>
        <v>13.88</v>
      </c>
      <c r="I53" s="176">
        <f t="shared" si="1"/>
        <v>166.56</v>
      </c>
    </row>
    <row r="54" spans="1:10" ht="30.75" customHeight="1" x14ac:dyDescent="0.25">
      <c r="A54" s="262"/>
      <c r="B54" s="159">
        <v>52</v>
      </c>
      <c r="C54" s="168" t="s">
        <v>358</v>
      </c>
      <c r="D54" s="181" t="s">
        <v>169</v>
      </c>
      <c r="E54" s="167">
        <v>4</v>
      </c>
      <c r="F54" s="167">
        <v>48</v>
      </c>
      <c r="G54" s="169">
        <v>2.871</v>
      </c>
      <c r="H54" s="175">
        <f t="shared" si="0"/>
        <v>11.48</v>
      </c>
      <c r="I54" s="176">
        <f t="shared" si="1"/>
        <v>137.81</v>
      </c>
    </row>
    <row r="55" spans="1:10" ht="24.75" customHeight="1" x14ac:dyDescent="0.25">
      <c r="A55" s="262"/>
      <c r="B55" s="159">
        <v>53</v>
      </c>
      <c r="C55" s="168" t="s">
        <v>359</v>
      </c>
      <c r="D55" s="181" t="s">
        <v>169</v>
      </c>
      <c r="E55" s="167">
        <v>72</v>
      </c>
      <c r="F55" s="167">
        <v>864</v>
      </c>
      <c r="G55" s="169">
        <v>5.2</v>
      </c>
      <c r="H55" s="175">
        <f t="shared" si="0"/>
        <v>374.4</v>
      </c>
      <c r="I55" s="176">
        <f t="shared" si="1"/>
        <v>4492.8</v>
      </c>
    </row>
    <row r="56" spans="1:10" ht="24" customHeight="1" x14ac:dyDescent="0.25">
      <c r="A56" s="262"/>
      <c r="B56" s="159">
        <v>54</v>
      </c>
      <c r="C56" s="168" t="s">
        <v>360</v>
      </c>
      <c r="D56" s="181" t="s">
        <v>169</v>
      </c>
      <c r="E56" s="167">
        <v>24</v>
      </c>
      <c r="F56" s="167">
        <v>288</v>
      </c>
      <c r="G56" s="169">
        <v>11.9</v>
      </c>
      <c r="H56" s="175">
        <f t="shared" si="0"/>
        <v>285.60000000000002</v>
      </c>
      <c r="I56" s="176">
        <f t="shared" si="1"/>
        <v>3427.2</v>
      </c>
    </row>
    <row r="57" spans="1:10" ht="15.75" x14ac:dyDescent="0.25">
      <c r="A57" s="262"/>
      <c r="B57" s="363" t="s">
        <v>172</v>
      </c>
      <c r="C57" s="364"/>
      <c r="D57" s="364"/>
      <c r="E57" s="364"/>
      <c r="F57" s="364"/>
      <c r="G57" s="357">
        <f>ROUND(SUM(H3:H56),2)</f>
        <v>13293.9</v>
      </c>
      <c r="H57" s="358"/>
      <c r="I57" s="359"/>
      <c r="J57" s="66"/>
    </row>
    <row r="58" spans="1:10" ht="15.75" customHeight="1" thickBot="1" x14ac:dyDescent="0.3">
      <c r="A58" s="262"/>
      <c r="B58" s="360" t="s">
        <v>175</v>
      </c>
      <c r="C58" s="361"/>
      <c r="D58" s="361"/>
      <c r="E58" s="361"/>
      <c r="F58" s="362"/>
      <c r="G58" s="354">
        <f>SUM(I3:I56)</f>
        <v>159526.85000000003</v>
      </c>
      <c r="H58" s="355"/>
      <c r="I58" s="356"/>
    </row>
  </sheetData>
  <mergeCells count="5">
    <mergeCell ref="G58:I58"/>
    <mergeCell ref="G57:I57"/>
    <mergeCell ref="A1:A58"/>
    <mergeCell ref="B58:F58"/>
    <mergeCell ref="B57:F57"/>
  </mergeCells>
  <printOptions horizontalCentered="1"/>
  <pageMargins left="0.9055118110236221" right="0.78740157480314965" top="1.7716535433070868" bottom="0.98425196850393704" header="0.31496062992125984" footer="0.31496062992125984"/>
  <pageSetup paperSize="9" scale="42" orientation="portrait" r:id="rId1"/>
  <colBreaks count="1" manualBreakCount="1">
    <brk id="9" max="1048575"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view="pageBreakPreview" topLeftCell="A34" zoomScaleNormal="100" zoomScaleSheetLayoutView="100" workbookViewId="0">
      <selection activeCell="D46" sqref="D46"/>
    </sheetView>
  </sheetViews>
  <sheetFormatPr defaultRowHeight="12.75" x14ac:dyDescent="0.25"/>
  <cols>
    <col min="1" max="1" width="3.28515625" style="8" customWidth="1"/>
    <col min="2" max="2" width="14.28515625" style="9" customWidth="1"/>
    <col min="3" max="3" width="5.7109375" style="8" customWidth="1"/>
    <col min="4" max="4" width="82.28515625" style="8" customWidth="1"/>
    <col min="5" max="5" width="10.7109375" style="9" bestFit="1" customWidth="1"/>
    <col min="6" max="6" width="12" style="8" bestFit="1" customWidth="1"/>
    <col min="7" max="7" width="9" style="8" bestFit="1" customWidth="1"/>
    <col min="8" max="8" width="10.5703125" style="8" bestFit="1" customWidth="1"/>
    <col min="9" max="9" width="12.140625" style="8" bestFit="1" customWidth="1"/>
    <col min="10" max="11" width="13.28515625" style="8" customWidth="1"/>
    <col min="12" max="12" width="14.140625" style="8" customWidth="1"/>
    <col min="13" max="16384" width="9.140625" style="8"/>
  </cols>
  <sheetData>
    <row r="1" spans="1:8" ht="21" customHeight="1" thickBot="1" x14ac:dyDescent="0.3">
      <c r="A1" s="365"/>
      <c r="B1" s="370"/>
      <c r="C1" s="370"/>
      <c r="D1" s="370"/>
      <c r="E1" s="370"/>
      <c r="F1" s="370"/>
      <c r="G1" s="370"/>
    </row>
    <row r="2" spans="1:8" ht="24.75" thickBot="1" x14ac:dyDescent="0.3">
      <c r="A2" s="365"/>
      <c r="B2" s="164" t="s">
        <v>115</v>
      </c>
      <c r="C2" s="165" t="s">
        <v>116</v>
      </c>
      <c r="D2" s="165" t="s">
        <v>117</v>
      </c>
      <c r="E2" s="165" t="s">
        <v>118</v>
      </c>
      <c r="F2" s="165" t="s">
        <v>119</v>
      </c>
      <c r="G2" s="166" t="s">
        <v>120</v>
      </c>
    </row>
    <row r="3" spans="1:8" ht="78.75" x14ac:dyDescent="0.25">
      <c r="A3" s="365"/>
      <c r="B3" s="373" t="s">
        <v>121</v>
      </c>
      <c r="C3" s="153">
        <v>1</v>
      </c>
      <c r="D3" s="160" t="s">
        <v>284</v>
      </c>
      <c r="E3" s="154">
        <v>3</v>
      </c>
      <c r="F3" s="155">
        <v>30</v>
      </c>
      <c r="G3" s="156">
        <f t="shared" ref="G3:G9" si="0">F3*E3</f>
        <v>90</v>
      </c>
    </row>
    <row r="4" spans="1:8" ht="78.75" x14ac:dyDescent="0.25">
      <c r="A4" s="365"/>
      <c r="B4" s="374"/>
      <c r="C4" s="148">
        <v>2</v>
      </c>
      <c r="D4" s="161" t="s">
        <v>285</v>
      </c>
      <c r="E4" s="149">
        <v>2</v>
      </c>
      <c r="F4" s="150">
        <v>99.95</v>
      </c>
      <c r="G4" s="151">
        <f t="shared" si="0"/>
        <v>199.9</v>
      </c>
      <c r="H4" s="61"/>
    </row>
    <row r="5" spans="1:8" ht="90" x14ac:dyDescent="0.25">
      <c r="A5" s="365"/>
      <c r="B5" s="374"/>
      <c r="C5" s="148">
        <v>3</v>
      </c>
      <c r="D5" s="161" t="s">
        <v>286</v>
      </c>
      <c r="E5" s="149">
        <v>4</v>
      </c>
      <c r="F5" s="150">
        <v>30</v>
      </c>
      <c r="G5" s="151">
        <f t="shared" si="0"/>
        <v>120</v>
      </c>
    </row>
    <row r="6" spans="1:8" ht="45" x14ac:dyDescent="0.25">
      <c r="A6" s="365"/>
      <c r="B6" s="374"/>
      <c r="C6" s="148">
        <v>4</v>
      </c>
      <c r="D6" s="161" t="s">
        <v>287</v>
      </c>
      <c r="E6" s="149">
        <v>2</v>
      </c>
      <c r="F6" s="150">
        <v>15</v>
      </c>
      <c r="G6" s="151">
        <f t="shared" si="0"/>
        <v>30</v>
      </c>
    </row>
    <row r="7" spans="1:8" ht="45" x14ac:dyDescent="0.25">
      <c r="A7" s="365"/>
      <c r="B7" s="374"/>
      <c r="C7" s="148">
        <v>5</v>
      </c>
      <c r="D7" s="161" t="s">
        <v>288</v>
      </c>
      <c r="E7" s="149">
        <v>4</v>
      </c>
      <c r="F7" s="150">
        <v>4</v>
      </c>
      <c r="G7" s="151">
        <f t="shared" si="0"/>
        <v>16</v>
      </c>
    </row>
    <row r="8" spans="1:8" ht="101.25" x14ac:dyDescent="0.25">
      <c r="A8" s="365"/>
      <c r="B8" s="374"/>
      <c r="C8" s="148">
        <v>6</v>
      </c>
      <c r="D8" s="161" t="s">
        <v>289</v>
      </c>
      <c r="E8" s="149">
        <v>2</v>
      </c>
      <c r="F8" s="150">
        <v>45</v>
      </c>
      <c r="G8" s="151">
        <f t="shared" si="0"/>
        <v>90</v>
      </c>
    </row>
    <row r="9" spans="1:8" ht="45" x14ac:dyDescent="0.25">
      <c r="A9" s="365"/>
      <c r="B9" s="374"/>
      <c r="C9" s="148">
        <v>7</v>
      </c>
      <c r="D9" s="161" t="s">
        <v>290</v>
      </c>
      <c r="E9" s="149">
        <v>2</v>
      </c>
      <c r="F9" s="150">
        <v>15</v>
      </c>
      <c r="G9" s="151">
        <f t="shared" si="0"/>
        <v>30</v>
      </c>
    </row>
    <row r="10" spans="1:8" ht="21.75" customHeight="1" thickBot="1" x14ac:dyDescent="0.3">
      <c r="A10" s="365"/>
      <c r="B10" s="375"/>
      <c r="C10" s="371" t="s">
        <v>122</v>
      </c>
      <c r="D10" s="371"/>
      <c r="E10" s="371"/>
      <c r="F10" s="371"/>
      <c r="G10" s="157">
        <f>SUM(G3:G9)/6</f>
        <v>95.983333333333334</v>
      </c>
    </row>
    <row r="11" spans="1:8" ht="24.75" thickBot="1" x14ac:dyDescent="0.3">
      <c r="A11" s="365"/>
      <c r="B11" s="164" t="s">
        <v>115</v>
      </c>
      <c r="C11" s="165" t="s">
        <v>116</v>
      </c>
      <c r="D11" s="165" t="s">
        <v>117</v>
      </c>
      <c r="E11" s="165" t="s">
        <v>118</v>
      </c>
      <c r="F11" s="165" t="s">
        <v>124</v>
      </c>
      <c r="G11" s="166" t="s">
        <v>120</v>
      </c>
    </row>
    <row r="12" spans="1:8" ht="78.75" x14ac:dyDescent="0.25">
      <c r="A12" s="365"/>
      <c r="B12" s="366" t="s">
        <v>123</v>
      </c>
      <c r="C12" s="153">
        <v>1</v>
      </c>
      <c r="D12" s="160" t="s">
        <v>277</v>
      </c>
      <c r="E12" s="154">
        <v>3</v>
      </c>
      <c r="F12" s="155">
        <v>30</v>
      </c>
      <c r="G12" s="156">
        <f t="shared" ref="G12:G18" si="1">F12*E12</f>
        <v>90</v>
      </c>
    </row>
    <row r="13" spans="1:8" ht="67.5" x14ac:dyDescent="0.25">
      <c r="A13" s="365"/>
      <c r="B13" s="366"/>
      <c r="C13" s="148">
        <v>2</v>
      </c>
      <c r="D13" s="161" t="s">
        <v>278</v>
      </c>
      <c r="E13" s="149">
        <v>2</v>
      </c>
      <c r="F13" s="150">
        <v>79.900000000000006</v>
      </c>
      <c r="G13" s="151">
        <f t="shared" si="1"/>
        <v>159.80000000000001</v>
      </c>
      <c r="H13" s="61">
        <f>H4</f>
        <v>0</v>
      </c>
    </row>
    <row r="14" spans="1:8" ht="67.5" x14ac:dyDescent="0.25">
      <c r="A14" s="365"/>
      <c r="B14" s="366"/>
      <c r="C14" s="148">
        <v>3</v>
      </c>
      <c r="D14" s="161" t="s">
        <v>279</v>
      </c>
      <c r="E14" s="149">
        <v>4</v>
      </c>
      <c r="F14" s="150">
        <v>30</v>
      </c>
      <c r="G14" s="151">
        <f t="shared" si="1"/>
        <v>120</v>
      </c>
    </row>
    <row r="15" spans="1:8" ht="22.5" x14ac:dyDescent="0.25">
      <c r="A15" s="365"/>
      <c r="B15" s="366"/>
      <c r="C15" s="148">
        <v>4</v>
      </c>
      <c r="D15" s="161" t="s">
        <v>280</v>
      </c>
      <c r="E15" s="149">
        <v>2</v>
      </c>
      <c r="F15" s="150">
        <v>25</v>
      </c>
      <c r="G15" s="151">
        <f t="shared" si="1"/>
        <v>50</v>
      </c>
    </row>
    <row r="16" spans="1:8" ht="45" x14ac:dyDescent="0.25">
      <c r="A16" s="365"/>
      <c r="B16" s="366"/>
      <c r="C16" s="148">
        <v>5</v>
      </c>
      <c r="D16" s="161" t="s">
        <v>281</v>
      </c>
      <c r="E16" s="149">
        <v>4</v>
      </c>
      <c r="F16" s="150">
        <v>4</v>
      </c>
      <c r="G16" s="151">
        <f t="shared" si="1"/>
        <v>16</v>
      </c>
    </row>
    <row r="17" spans="1:8" ht="105" customHeight="1" x14ac:dyDescent="0.25">
      <c r="A17" s="365"/>
      <c r="B17" s="366"/>
      <c r="C17" s="148">
        <v>6</v>
      </c>
      <c r="D17" s="161" t="s">
        <v>282</v>
      </c>
      <c r="E17" s="149">
        <v>2</v>
      </c>
      <c r="F17" s="150">
        <v>45</v>
      </c>
      <c r="G17" s="151">
        <f t="shared" si="1"/>
        <v>90</v>
      </c>
    </row>
    <row r="18" spans="1:8" ht="33.75" x14ac:dyDescent="0.25">
      <c r="A18" s="365"/>
      <c r="B18" s="366"/>
      <c r="C18" s="148">
        <v>7</v>
      </c>
      <c r="D18" s="161" t="s">
        <v>283</v>
      </c>
      <c r="E18" s="149">
        <v>2</v>
      </c>
      <c r="F18" s="150">
        <v>25</v>
      </c>
      <c r="G18" s="151">
        <f t="shared" si="1"/>
        <v>50</v>
      </c>
    </row>
    <row r="19" spans="1:8" ht="19.5" customHeight="1" thickBot="1" x14ac:dyDescent="0.3">
      <c r="A19" s="365"/>
      <c r="B19" s="366"/>
      <c r="C19" s="371" t="s">
        <v>125</v>
      </c>
      <c r="D19" s="371"/>
      <c r="E19" s="371"/>
      <c r="F19" s="371"/>
      <c r="G19" s="157">
        <f>SUM(G12:G18)/6</f>
        <v>95.966666666666654</v>
      </c>
    </row>
    <row r="20" spans="1:8" ht="24.75" thickBot="1" x14ac:dyDescent="0.3">
      <c r="A20" s="365"/>
      <c r="B20" s="164" t="s">
        <v>115</v>
      </c>
      <c r="C20" s="165" t="s">
        <v>116</v>
      </c>
      <c r="D20" s="165" t="s">
        <v>117</v>
      </c>
      <c r="E20" s="165" t="s">
        <v>118</v>
      </c>
      <c r="F20" s="165" t="s">
        <v>124</v>
      </c>
      <c r="G20" s="166" t="s">
        <v>127</v>
      </c>
    </row>
    <row r="21" spans="1:8" ht="78.75" x14ac:dyDescent="0.25">
      <c r="A21" s="365"/>
      <c r="B21" s="366" t="s">
        <v>126</v>
      </c>
      <c r="C21" s="153">
        <v>1</v>
      </c>
      <c r="D21" s="160" t="s">
        <v>291</v>
      </c>
      <c r="E21" s="154">
        <v>3</v>
      </c>
      <c r="F21" s="155">
        <v>30</v>
      </c>
      <c r="G21" s="156">
        <f t="shared" ref="G21:G27" si="2">F21*E21</f>
        <v>90</v>
      </c>
    </row>
    <row r="22" spans="1:8" ht="67.5" x14ac:dyDescent="0.25">
      <c r="A22" s="365"/>
      <c r="B22" s="366"/>
      <c r="C22" s="148">
        <v>2</v>
      </c>
      <c r="D22" s="161" t="s">
        <v>292</v>
      </c>
      <c r="E22" s="149">
        <v>4</v>
      </c>
      <c r="F22" s="150">
        <v>30</v>
      </c>
      <c r="G22" s="151">
        <f t="shared" si="2"/>
        <v>120</v>
      </c>
    </row>
    <row r="23" spans="1:8" ht="78.75" x14ac:dyDescent="0.25">
      <c r="A23" s="365"/>
      <c r="B23" s="366"/>
      <c r="C23" s="148">
        <v>3</v>
      </c>
      <c r="D23" s="161" t="s">
        <v>293</v>
      </c>
      <c r="E23" s="149">
        <v>2</v>
      </c>
      <c r="F23" s="150">
        <v>30</v>
      </c>
      <c r="G23" s="151">
        <f t="shared" si="2"/>
        <v>60</v>
      </c>
    </row>
    <row r="24" spans="1:8" ht="45" x14ac:dyDescent="0.25">
      <c r="A24" s="365"/>
      <c r="B24" s="366"/>
      <c r="C24" s="148">
        <v>4</v>
      </c>
      <c r="D24" s="162" t="s">
        <v>294</v>
      </c>
      <c r="E24" s="149">
        <v>4</v>
      </c>
      <c r="F24" s="150">
        <v>4</v>
      </c>
      <c r="G24" s="151">
        <f t="shared" si="2"/>
        <v>16</v>
      </c>
      <c r="H24" s="61" t="e">
        <f>COPEIRA!#REF!</f>
        <v>#REF!</v>
      </c>
    </row>
    <row r="25" spans="1:8" ht="90" x14ac:dyDescent="0.25">
      <c r="A25" s="365"/>
      <c r="B25" s="366"/>
      <c r="C25" s="148">
        <v>5</v>
      </c>
      <c r="D25" s="161" t="s">
        <v>295</v>
      </c>
      <c r="E25" s="149">
        <v>2</v>
      </c>
      <c r="F25" s="150">
        <v>35.76</v>
      </c>
      <c r="G25" s="151">
        <f t="shared" si="2"/>
        <v>71.52</v>
      </c>
    </row>
    <row r="26" spans="1:8" ht="45" x14ac:dyDescent="0.25">
      <c r="A26" s="365"/>
      <c r="B26" s="366"/>
      <c r="C26" s="148">
        <v>6</v>
      </c>
      <c r="D26" s="161" t="s">
        <v>296</v>
      </c>
      <c r="E26" s="149">
        <v>2</v>
      </c>
      <c r="F26" s="150">
        <v>25</v>
      </c>
      <c r="G26" s="151">
        <f t="shared" si="2"/>
        <v>50</v>
      </c>
    </row>
    <row r="27" spans="1:8" ht="33.75" x14ac:dyDescent="0.25">
      <c r="A27" s="365"/>
      <c r="B27" s="366"/>
      <c r="C27" s="148">
        <v>7</v>
      </c>
      <c r="D27" s="161" t="s">
        <v>297</v>
      </c>
      <c r="E27" s="149">
        <v>1</v>
      </c>
      <c r="F27" s="150">
        <v>23</v>
      </c>
      <c r="G27" s="151">
        <f t="shared" si="2"/>
        <v>23</v>
      </c>
      <c r="H27" s="61"/>
    </row>
    <row r="28" spans="1:8" ht="19.5" customHeight="1" thickBot="1" x14ac:dyDescent="0.3">
      <c r="A28" s="365"/>
      <c r="B28" s="366"/>
      <c r="C28" s="371" t="s">
        <v>128</v>
      </c>
      <c r="D28" s="371"/>
      <c r="E28" s="371"/>
      <c r="F28" s="371"/>
      <c r="G28" s="157">
        <f>SUM(G21:G27)/6</f>
        <v>71.75333333333333</v>
      </c>
    </row>
    <row r="29" spans="1:8" ht="24.75" thickBot="1" x14ac:dyDescent="0.3">
      <c r="A29" s="365"/>
      <c r="B29" s="164" t="s">
        <v>115</v>
      </c>
      <c r="C29" s="165" t="s">
        <v>116</v>
      </c>
      <c r="D29" s="165" t="s">
        <v>117</v>
      </c>
      <c r="E29" s="165" t="s">
        <v>118</v>
      </c>
      <c r="F29" s="165" t="s">
        <v>124</v>
      </c>
      <c r="G29" s="166" t="s">
        <v>120</v>
      </c>
    </row>
    <row r="30" spans="1:8" ht="78.75" x14ac:dyDescent="0.25">
      <c r="A30" s="365"/>
      <c r="B30" s="366" t="s">
        <v>114</v>
      </c>
      <c r="C30" s="153">
        <v>1</v>
      </c>
      <c r="D30" s="160" t="s">
        <v>298</v>
      </c>
      <c r="E30" s="154">
        <v>3</v>
      </c>
      <c r="F30" s="155">
        <v>30</v>
      </c>
      <c r="G30" s="156">
        <f t="shared" ref="G30:G35" si="3">F30*E30</f>
        <v>90</v>
      </c>
      <c r="H30" s="61"/>
    </row>
    <row r="31" spans="1:8" ht="67.5" x14ac:dyDescent="0.25">
      <c r="A31" s="365"/>
      <c r="B31" s="366"/>
      <c r="C31" s="148">
        <v>2</v>
      </c>
      <c r="D31" s="161" t="s">
        <v>299</v>
      </c>
      <c r="E31" s="149">
        <v>4</v>
      </c>
      <c r="F31" s="150">
        <v>31.88</v>
      </c>
      <c r="G31" s="151">
        <f t="shared" si="3"/>
        <v>127.52</v>
      </c>
    </row>
    <row r="32" spans="1:8" ht="45" x14ac:dyDescent="0.25">
      <c r="A32" s="365"/>
      <c r="B32" s="366"/>
      <c r="C32" s="148">
        <v>3</v>
      </c>
      <c r="D32" s="161" t="s">
        <v>300</v>
      </c>
      <c r="E32" s="149">
        <v>4</v>
      </c>
      <c r="F32" s="150">
        <v>4</v>
      </c>
      <c r="G32" s="151">
        <f t="shared" si="3"/>
        <v>16</v>
      </c>
      <c r="H32" s="61" t="e">
        <f>'AFERIÇÃO CAC'!#REF!</f>
        <v>#REF!</v>
      </c>
    </row>
    <row r="33" spans="1:8" ht="101.25" x14ac:dyDescent="0.25">
      <c r="A33" s="365"/>
      <c r="B33" s="366"/>
      <c r="C33" s="148">
        <v>4</v>
      </c>
      <c r="D33" s="161" t="s">
        <v>301</v>
      </c>
      <c r="E33" s="149">
        <v>2</v>
      </c>
      <c r="F33" s="150">
        <v>45</v>
      </c>
      <c r="G33" s="151">
        <f t="shared" si="3"/>
        <v>90</v>
      </c>
    </row>
    <row r="34" spans="1:8" ht="45" x14ac:dyDescent="0.25">
      <c r="A34" s="365"/>
      <c r="B34" s="366"/>
      <c r="C34" s="148">
        <v>5</v>
      </c>
      <c r="D34" s="161" t="s">
        <v>302</v>
      </c>
      <c r="E34" s="149">
        <v>2</v>
      </c>
      <c r="F34" s="150">
        <v>15</v>
      </c>
      <c r="G34" s="151">
        <f t="shared" si="3"/>
        <v>30</v>
      </c>
    </row>
    <row r="35" spans="1:8" ht="45" x14ac:dyDescent="0.25">
      <c r="A35" s="365"/>
      <c r="B35" s="366"/>
      <c r="C35" s="148">
        <v>6</v>
      </c>
      <c r="D35" s="161" t="s">
        <v>303</v>
      </c>
      <c r="E35" s="149">
        <v>1</v>
      </c>
      <c r="F35" s="150">
        <v>55</v>
      </c>
      <c r="G35" s="151">
        <f t="shared" si="3"/>
        <v>55</v>
      </c>
    </row>
    <row r="36" spans="1:8" ht="25.5" customHeight="1" thickBot="1" x14ac:dyDescent="0.3">
      <c r="A36" s="365"/>
      <c r="B36" s="366"/>
      <c r="C36" s="371" t="s">
        <v>129</v>
      </c>
      <c r="D36" s="371"/>
      <c r="E36" s="371"/>
      <c r="F36" s="371"/>
      <c r="G36" s="157">
        <f>SUM(G30:G35)/6</f>
        <v>68.086666666666659</v>
      </c>
    </row>
    <row r="37" spans="1:8" ht="24.75" thickBot="1" x14ac:dyDescent="0.3">
      <c r="A37" s="365"/>
      <c r="B37" s="164" t="s">
        <v>115</v>
      </c>
      <c r="C37" s="165" t="s">
        <v>116</v>
      </c>
      <c r="D37" s="165" t="s">
        <v>117</v>
      </c>
      <c r="E37" s="165" t="s">
        <v>118</v>
      </c>
      <c r="F37" s="165" t="s">
        <v>124</v>
      </c>
      <c r="G37" s="166" t="s">
        <v>120</v>
      </c>
    </row>
    <row r="38" spans="1:8" ht="70.5" customHeight="1" x14ac:dyDescent="0.25">
      <c r="A38" s="365"/>
      <c r="B38" s="367" t="s">
        <v>130</v>
      </c>
      <c r="C38" s="144">
        <v>1</v>
      </c>
      <c r="D38" s="163" t="s">
        <v>304</v>
      </c>
      <c r="E38" s="145">
        <v>3</v>
      </c>
      <c r="F38" s="146">
        <v>30</v>
      </c>
      <c r="G38" s="147">
        <f>F38*E38</f>
        <v>90</v>
      </c>
    </row>
    <row r="39" spans="1:8" ht="45" x14ac:dyDescent="0.25">
      <c r="A39" s="365"/>
      <c r="B39" s="368"/>
      <c r="C39" s="148">
        <v>2</v>
      </c>
      <c r="D39" s="161" t="s">
        <v>305</v>
      </c>
      <c r="E39" s="149">
        <v>4</v>
      </c>
      <c r="F39" s="150">
        <v>30</v>
      </c>
      <c r="G39" s="151">
        <f>F39*E39</f>
        <v>120</v>
      </c>
      <c r="H39" s="61"/>
    </row>
    <row r="40" spans="1:8" ht="45" x14ac:dyDescent="0.25">
      <c r="A40" s="365"/>
      <c r="B40" s="368"/>
      <c r="C40" s="148">
        <v>3</v>
      </c>
      <c r="D40" s="161" t="s">
        <v>300</v>
      </c>
      <c r="E40" s="149">
        <v>4</v>
      </c>
      <c r="F40" s="150">
        <v>4</v>
      </c>
      <c r="G40" s="151">
        <f>F40*E40</f>
        <v>16</v>
      </c>
    </row>
    <row r="41" spans="1:8" ht="45" x14ac:dyDescent="0.25">
      <c r="A41" s="365"/>
      <c r="B41" s="368"/>
      <c r="C41" s="148">
        <v>4</v>
      </c>
      <c r="D41" s="161" t="s">
        <v>306</v>
      </c>
      <c r="E41" s="149">
        <v>2</v>
      </c>
      <c r="F41" s="150">
        <v>23</v>
      </c>
      <c r="G41" s="151">
        <f>F41*E41</f>
        <v>46</v>
      </c>
    </row>
    <row r="42" spans="1:8" ht="45" x14ac:dyDescent="0.25">
      <c r="A42" s="365"/>
      <c r="B42" s="368"/>
      <c r="C42" s="148">
        <v>5</v>
      </c>
      <c r="D42" s="161" t="s">
        <v>303</v>
      </c>
      <c r="E42" s="149">
        <v>1</v>
      </c>
      <c r="F42" s="150">
        <v>38.1</v>
      </c>
      <c r="G42" s="151">
        <f>F42*E42</f>
        <v>38.1</v>
      </c>
    </row>
    <row r="43" spans="1:8" ht="24" customHeight="1" thickBot="1" x14ac:dyDescent="0.3">
      <c r="A43" s="365"/>
      <c r="B43" s="369"/>
      <c r="C43" s="372" t="s">
        <v>131</v>
      </c>
      <c r="D43" s="372"/>
      <c r="E43" s="372"/>
      <c r="F43" s="372"/>
      <c r="G43" s="152">
        <f>SUM(G38:G42)/6</f>
        <v>51.683333333333337</v>
      </c>
    </row>
    <row r="45" spans="1:8" x14ac:dyDescent="0.25">
      <c r="C45" s="377"/>
      <c r="D45" s="377"/>
      <c r="E45" s="377"/>
      <c r="F45" s="377"/>
      <c r="G45" s="377"/>
    </row>
    <row r="46" spans="1:8" x14ac:dyDescent="0.25">
      <c r="C46" s="10"/>
      <c r="D46" s="10"/>
      <c r="E46" s="10"/>
      <c r="F46" s="10"/>
      <c r="G46" s="10"/>
    </row>
    <row r="47" spans="1:8" x14ac:dyDescent="0.25">
      <c r="C47" s="11"/>
      <c r="D47" s="12"/>
      <c r="E47" s="10"/>
      <c r="F47" s="13"/>
      <c r="G47" s="14"/>
    </row>
    <row r="48" spans="1:8" x14ac:dyDescent="0.25">
      <c r="C48" s="11"/>
      <c r="D48" s="12"/>
      <c r="E48" s="10"/>
      <c r="F48" s="13"/>
      <c r="G48" s="14"/>
    </row>
    <row r="49" spans="3:7" x14ac:dyDescent="0.25">
      <c r="C49" s="11"/>
      <c r="D49" s="12"/>
      <c r="E49" s="10"/>
      <c r="F49" s="13"/>
      <c r="G49" s="14"/>
    </row>
    <row r="50" spans="3:7" x14ac:dyDescent="0.25">
      <c r="C50" s="11"/>
      <c r="D50" s="12"/>
      <c r="E50" s="10"/>
      <c r="F50" s="13"/>
      <c r="G50" s="14"/>
    </row>
    <row r="51" spans="3:7" x14ac:dyDescent="0.25">
      <c r="C51" s="11"/>
      <c r="D51" s="12"/>
      <c r="E51" s="10"/>
      <c r="F51" s="13"/>
      <c r="G51" s="14"/>
    </row>
    <row r="52" spans="3:7" x14ac:dyDescent="0.25">
      <c r="C52" s="11"/>
      <c r="D52" s="12"/>
      <c r="E52" s="10"/>
      <c r="F52" s="13"/>
      <c r="G52" s="14"/>
    </row>
    <row r="53" spans="3:7" x14ac:dyDescent="0.25">
      <c r="C53" s="376"/>
      <c r="D53" s="376"/>
      <c r="E53" s="376"/>
      <c r="F53" s="376"/>
      <c r="G53" s="15"/>
    </row>
    <row r="54" spans="3:7" x14ac:dyDescent="0.25">
      <c r="C54" s="376"/>
      <c r="D54" s="376"/>
      <c r="E54" s="376"/>
      <c r="F54" s="376"/>
      <c r="G54" s="15"/>
    </row>
    <row r="55" spans="3:7" x14ac:dyDescent="0.25">
      <c r="C55" s="16"/>
      <c r="D55" s="16"/>
      <c r="E55" s="17"/>
      <c r="F55" s="10"/>
      <c r="G55" s="18"/>
    </row>
    <row r="57" spans="3:7" x14ac:dyDescent="0.25">
      <c r="C57" s="16"/>
      <c r="D57" s="16"/>
      <c r="E57" s="17"/>
      <c r="F57" s="16"/>
      <c r="G57" s="16"/>
    </row>
    <row r="58" spans="3:7" x14ac:dyDescent="0.25">
      <c r="C58" s="377"/>
      <c r="D58" s="377"/>
      <c r="E58" s="377"/>
      <c r="F58" s="377"/>
      <c r="G58" s="377"/>
    </row>
    <row r="59" spans="3:7" x14ac:dyDescent="0.25">
      <c r="C59" s="10"/>
      <c r="D59" s="10"/>
      <c r="E59" s="10"/>
      <c r="F59" s="10"/>
      <c r="G59" s="10"/>
    </row>
    <row r="60" spans="3:7" x14ac:dyDescent="0.25">
      <c r="C60" s="11"/>
      <c r="D60" s="12"/>
      <c r="E60" s="10"/>
      <c r="F60" s="13"/>
      <c r="G60" s="14"/>
    </row>
    <row r="61" spans="3:7" x14ac:dyDescent="0.25">
      <c r="C61" s="11"/>
      <c r="D61" s="12"/>
      <c r="E61" s="10"/>
      <c r="F61" s="13"/>
      <c r="G61" s="14"/>
    </row>
    <row r="62" spans="3:7" x14ac:dyDescent="0.25">
      <c r="C62" s="11"/>
      <c r="D62" s="12"/>
      <c r="E62" s="10"/>
      <c r="F62" s="13"/>
      <c r="G62" s="14"/>
    </row>
    <row r="63" spans="3:7" x14ac:dyDescent="0.25">
      <c r="C63" s="11"/>
      <c r="D63" s="12"/>
      <c r="E63" s="10"/>
      <c r="F63" s="13"/>
      <c r="G63" s="14"/>
    </row>
    <row r="64" spans="3:7" x14ac:dyDescent="0.25">
      <c r="C64" s="11"/>
      <c r="D64" s="12"/>
      <c r="E64" s="10"/>
      <c r="F64" s="13"/>
      <c r="G64" s="14"/>
    </row>
    <row r="65" spans="3:7" x14ac:dyDescent="0.25">
      <c r="C65" s="11"/>
      <c r="D65" s="12"/>
      <c r="E65" s="10"/>
      <c r="F65" s="13"/>
      <c r="G65" s="14"/>
    </row>
    <row r="66" spans="3:7" x14ac:dyDescent="0.25">
      <c r="C66" s="376"/>
      <c r="D66" s="376"/>
      <c r="E66" s="376"/>
      <c r="F66" s="376"/>
      <c r="G66" s="15"/>
    </row>
    <row r="67" spans="3:7" x14ac:dyDescent="0.25">
      <c r="C67" s="376"/>
      <c r="D67" s="376"/>
      <c r="E67" s="376"/>
      <c r="F67" s="376"/>
      <c r="G67" s="18"/>
    </row>
    <row r="68" spans="3:7" x14ac:dyDescent="0.25">
      <c r="C68" s="16"/>
      <c r="D68" s="16"/>
      <c r="E68" s="17"/>
      <c r="F68" s="16"/>
      <c r="G68" s="16"/>
    </row>
    <row r="69" spans="3:7" x14ac:dyDescent="0.25">
      <c r="C69" s="377"/>
      <c r="D69" s="377"/>
      <c r="E69" s="377"/>
      <c r="F69" s="377"/>
      <c r="G69" s="377"/>
    </row>
    <row r="70" spans="3:7" x14ac:dyDescent="0.25">
      <c r="C70" s="10"/>
      <c r="D70" s="10"/>
      <c r="E70" s="10"/>
      <c r="F70" s="10"/>
      <c r="G70" s="10"/>
    </row>
    <row r="71" spans="3:7" x14ac:dyDescent="0.25">
      <c r="C71" s="11"/>
      <c r="D71" s="12"/>
      <c r="E71" s="10"/>
      <c r="F71" s="13"/>
      <c r="G71" s="14"/>
    </row>
    <row r="72" spans="3:7" x14ac:dyDescent="0.25">
      <c r="C72" s="11"/>
      <c r="D72" s="12"/>
      <c r="E72" s="10"/>
      <c r="F72" s="13"/>
      <c r="G72" s="14"/>
    </row>
    <row r="73" spans="3:7" x14ac:dyDescent="0.25">
      <c r="C73" s="11"/>
      <c r="D73" s="12"/>
      <c r="E73" s="10"/>
      <c r="F73" s="13"/>
      <c r="G73" s="14"/>
    </row>
    <row r="74" spans="3:7" x14ac:dyDescent="0.25">
      <c r="C74" s="11"/>
      <c r="D74" s="12"/>
      <c r="E74" s="10"/>
      <c r="F74" s="13"/>
      <c r="G74" s="14"/>
    </row>
    <row r="75" spans="3:7" x14ac:dyDescent="0.25">
      <c r="C75" s="11"/>
      <c r="D75" s="12"/>
      <c r="E75" s="10"/>
      <c r="F75" s="13"/>
      <c r="G75" s="14"/>
    </row>
    <row r="76" spans="3:7" x14ac:dyDescent="0.25">
      <c r="C76" s="11"/>
      <c r="D76" s="12"/>
      <c r="E76" s="10"/>
      <c r="F76" s="13"/>
      <c r="G76" s="14"/>
    </row>
    <row r="77" spans="3:7" x14ac:dyDescent="0.25">
      <c r="C77" s="376"/>
      <c r="D77" s="376"/>
      <c r="E77" s="376"/>
      <c r="F77" s="376"/>
      <c r="G77" s="15"/>
    </row>
    <row r="78" spans="3:7" x14ac:dyDescent="0.25">
      <c r="C78" s="376"/>
      <c r="D78" s="376"/>
      <c r="E78" s="376"/>
      <c r="F78" s="376"/>
      <c r="G78" s="15"/>
    </row>
    <row r="79" spans="3:7" x14ac:dyDescent="0.25">
      <c r="C79" s="16"/>
      <c r="D79" s="16"/>
      <c r="E79" s="17"/>
      <c r="F79" s="10"/>
      <c r="G79" s="18"/>
    </row>
  </sheetData>
  <mergeCells count="21">
    <mergeCell ref="C78:F78"/>
    <mergeCell ref="C45:G45"/>
    <mergeCell ref="C53:F53"/>
    <mergeCell ref="C54:F54"/>
    <mergeCell ref="C58:G58"/>
    <mergeCell ref="C66:F66"/>
    <mergeCell ref="C67:F67"/>
    <mergeCell ref="C77:F77"/>
    <mergeCell ref="C69:G69"/>
    <mergeCell ref="A1:A43"/>
    <mergeCell ref="B12:B19"/>
    <mergeCell ref="B21:B28"/>
    <mergeCell ref="B30:B36"/>
    <mergeCell ref="B38:B43"/>
    <mergeCell ref="B1:G1"/>
    <mergeCell ref="C36:F36"/>
    <mergeCell ref="C43:F43"/>
    <mergeCell ref="B3:B10"/>
    <mergeCell ref="C10:F10"/>
    <mergeCell ref="C19:F19"/>
    <mergeCell ref="C28:F28"/>
  </mergeCells>
  <printOptions horizontalCentered="1"/>
  <pageMargins left="0.9055118110236221" right="0.78740157480314965" top="1.7716535433070868" bottom="0.98425196850393704" header="0.31496062992125984" footer="0.31496062992125984"/>
  <pageSetup paperSize="9" scale="49" orientation="portrait" r:id="rId1"/>
  <rowBreaks count="1" manualBreakCount="1">
    <brk id="19" max="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BreakPreview" zoomScale="115" zoomScaleNormal="100" zoomScaleSheetLayoutView="115" workbookViewId="0">
      <selection activeCell="B19" sqref="B19:G19"/>
    </sheetView>
  </sheetViews>
  <sheetFormatPr defaultRowHeight="16.5" customHeight="1" x14ac:dyDescent="0.25"/>
  <cols>
    <col min="1" max="1" width="5" style="20" customWidth="1"/>
    <col min="2" max="2" width="7.140625" style="20" customWidth="1"/>
    <col min="3" max="3" width="34.140625" style="20" customWidth="1"/>
    <col min="4" max="4" width="5.85546875" style="20" customWidth="1"/>
    <col min="5" max="5" width="14" style="20" customWidth="1"/>
    <col min="6" max="6" width="5.7109375" style="20" customWidth="1"/>
    <col min="7" max="7" width="15.28515625" style="20" customWidth="1"/>
    <col min="8" max="8" width="2.28515625" style="20" customWidth="1"/>
    <col min="9" max="9" width="9.140625" style="20"/>
    <col min="10" max="10" width="11" style="20" bestFit="1" customWidth="1"/>
    <col min="11" max="11" width="11.140625" style="20" bestFit="1" customWidth="1"/>
    <col min="12" max="12" width="12.85546875" style="20" bestFit="1" customWidth="1"/>
    <col min="13" max="16384" width="9.140625" style="20"/>
  </cols>
  <sheetData>
    <row r="1" spans="1:12" ht="16.5" customHeight="1" thickBot="1" x14ac:dyDescent="0.3">
      <c r="A1" s="380"/>
      <c r="B1" s="378"/>
      <c r="C1" s="379"/>
      <c r="D1" s="379"/>
      <c r="E1" s="379"/>
      <c r="F1" s="379"/>
      <c r="G1" s="379"/>
      <c r="H1" s="379"/>
      <c r="I1" s="379"/>
      <c r="J1" s="380"/>
    </row>
    <row r="2" spans="1:12" ht="15" customHeight="1" thickBot="1" x14ac:dyDescent="0.3">
      <c r="A2" s="401"/>
      <c r="B2" s="402" t="s">
        <v>137</v>
      </c>
      <c r="C2" s="403"/>
      <c r="D2" s="403"/>
      <c r="E2" s="403"/>
      <c r="F2" s="403"/>
      <c r="G2" s="404"/>
      <c r="H2" s="421"/>
      <c r="I2" s="422"/>
      <c r="J2" s="423"/>
    </row>
    <row r="3" spans="1:12" ht="24" x14ac:dyDescent="0.25">
      <c r="A3" s="401"/>
      <c r="B3" s="194" t="s">
        <v>138</v>
      </c>
      <c r="C3" s="195" t="s">
        <v>105</v>
      </c>
      <c r="D3" s="195" t="s">
        <v>139</v>
      </c>
      <c r="E3" s="195" t="s">
        <v>106</v>
      </c>
      <c r="F3" s="195" t="s">
        <v>140</v>
      </c>
      <c r="G3" s="196" t="s">
        <v>141</v>
      </c>
      <c r="H3" s="424"/>
      <c r="I3" s="425"/>
      <c r="J3" s="426"/>
    </row>
    <row r="4" spans="1:12" ht="48" x14ac:dyDescent="0.25">
      <c r="A4" s="401"/>
      <c r="B4" s="193">
        <v>1</v>
      </c>
      <c r="C4" s="186" t="s">
        <v>142</v>
      </c>
      <c r="D4" s="187">
        <v>29</v>
      </c>
      <c r="E4" s="188">
        <v>5970.12</v>
      </c>
      <c r="F4" s="189">
        <v>1</v>
      </c>
      <c r="G4" s="197">
        <f>E4*F4</f>
        <v>5970.12</v>
      </c>
      <c r="H4" s="424"/>
      <c r="I4" s="425"/>
      <c r="J4" s="426"/>
    </row>
    <row r="5" spans="1:12" ht="15" x14ac:dyDescent="0.25">
      <c r="A5" s="401"/>
      <c r="B5" s="193">
        <v>2</v>
      </c>
      <c r="C5" s="186" t="s">
        <v>143</v>
      </c>
      <c r="D5" s="187">
        <v>29</v>
      </c>
      <c r="E5" s="188">
        <v>50</v>
      </c>
      <c r="F5" s="189">
        <v>1</v>
      </c>
      <c r="G5" s="197">
        <f>E5*D5*F5</f>
        <v>1450</v>
      </c>
      <c r="H5" s="424"/>
      <c r="I5" s="425"/>
      <c r="J5" s="426"/>
    </row>
    <row r="6" spans="1:12" ht="15" x14ac:dyDescent="0.25">
      <c r="A6" s="401"/>
      <c r="B6" s="405"/>
      <c r="C6" s="406"/>
      <c r="D6" s="406"/>
      <c r="E6" s="406"/>
      <c r="F6" s="406"/>
      <c r="G6" s="198"/>
      <c r="H6" s="424"/>
      <c r="I6" s="425"/>
      <c r="J6" s="426"/>
    </row>
    <row r="7" spans="1:12" ht="15.75" thickBot="1" x14ac:dyDescent="0.3">
      <c r="A7" s="401"/>
      <c r="B7" s="407" t="s">
        <v>144</v>
      </c>
      <c r="C7" s="408"/>
      <c r="D7" s="408"/>
      <c r="E7" s="408"/>
      <c r="F7" s="408"/>
      <c r="G7" s="199">
        <f>SUM(G4:G5)/D4/12</f>
        <v>21.322183908045975</v>
      </c>
      <c r="H7" s="427"/>
      <c r="I7" s="428"/>
      <c r="J7" s="429"/>
    </row>
    <row r="8" spans="1:12" ht="12" customHeight="1" thickBot="1" x14ac:dyDescent="0.3">
      <c r="A8" s="401"/>
      <c r="B8" s="399"/>
      <c r="C8" s="400"/>
      <c r="D8" s="400"/>
      <c r="E8" s="400"/>
      <c r="F8" s="400"/>
      <c r="G8" s="400"/>
      <c r="H8" s="400"/>
      <c r="I8" s="400"/>
      <c r="J8" s="400"/>
    </row>
    <row r="9" spans="1:12" ht="16.5" customHeight="1" thickBot="1" x14ac:dyDescent="0.3">
      <c r="A9" s="401"/>
      <c r="B9" s="409" t="s">
        <v>145</v>
      </c>
      <c r="C9" s="409"/>
      <c r="D9" s="409"/>
      <c r="E9" s="409"/>
      <c r="F9" s="409"/>
      <c r="G9" s="409"/>
      <c r="H9" s="409"/>
      <c r="I9" s="409"/>
      <c r="J9" s="410"/>
    </row>
    <row r="10" spans="1:12" ht="16.5" customHeight="1" x14ac:dyDescent="0.25">
      <c r="A10" s="401"/>
      <c r="B10" s="411" t="s">
        <v>116</v>
      </c>
      <c r="C10" s="413" t="s">
        <v>146</v>
      </c>
      <c r="D10" s="411"/>
      <c r="E10" s="415" t="s">
        <v>367</v>
      </c>
      <c r="F10" s="416"/>
      <c r="G10" s="415" t="s">
        <v>147</v>
      </c>
      <c r="H10" s="416"/>
      <c r="I10" s="419" t="s">
        <v>148</v>
      </c>
      <c r="J10" s="419" t="s">
        <v>127</v>
      </c>
    </row>
    <row r="11" spans="1:12" ht="16.5" customHeight="1" thickBot="1" x14ac:dyDescent="0.3">
      <c r="A11" s="401"/>
      <c r="B11" s="412"/>
      <c r="C11" s="414"/>
      <c r="D11" s="412"/>
      <c r="E11" s="417" t="s">
        <v>149</v>
      </c>
      <c r="F11" s="418"/>
      <c r="G11" s="417"/>
      <c r="H11" s="418"/>
      <c r="I11" s="420"/>
      <c r="J11" s="420"/>
      <c r="K11" s="63"/>
    </row>
    <row r="12" spans="1:12" ht="16.5" customHeight="1" thickBot="1" x14ac:dyDescent="0.3">
      <c r="A12" s="401"/>
      <c r="B12" s="190" t="s">
        <v>150</v>
      </c>
      <c r="C12" s="389" t="s">
        <v>114</v>
      </c>
      <c r="D12" s="390"/>
      <c r="E12" s="391">
        <v>1</v>
      </c>
      <c r="F12" s="392"/>
      <c r="G12" s="393">
        <v>9.9499999999999993</v>
      </c>
      <c r="H12" s="394"/>
      <c r="I12" s="183">
        <f>G12*E12</f>
        <v>9.9499999999999993</v>
      </c>
      <c r="J12" s="184">
        <f>I12*12</f>
        <v>119.39999999999999</v>
      </c>
      <c r="K12" s="63"/>
    </row>
    <row r="13" spans="1:12" ht="16.5" customHeight="1" thickBot="1" x14ac:dyDescent="0.3">
      <c r="A13" s="401"/>
      <c r="B13" s="191" t="s">
        <v>151</v>
      </c>
      <c r="C13" s="389" t="s">
        <v>121</v>
      </c>
      <c r="D13" s="390"/>
      <c r="E13" s="391">
        <v>18</v>
      </c>
      <c r="F13" s="392"/>
      <c r="G13" s="393">
        <v>9.9499999999999993</v>
      </c>
      <c r="H13" s="394"/>
      <c r="I13" s="183">
        <f>G13*E13</f>
        <v>179.1</v>
      </c>
      <c r="J13" s="184">
        <f>I13*12</f>
        <v>2149.1999999999998</v>
      </c>
      <c r="K13" s="63"/>
      <c r="L13" s="62"/>
    </row>
    <row r="14" spans="1:12" ht="16.5" customHeight="1" thickBot="1" x14ac:dyDescent="0.3">
      <c r="A14" s="401"/>
      <c r="B14" s="190" t="s">
        <v>152</v>
      </c>
      <c r="C14" s="389" t="s">
        <v>123</v>
      </c>
      <c r="D14" s="390"/>
      <c r="E14" s="391">
        <v>2</v>
      </c>
      <c r="F14" s="392"/>
      <c r="G14" s="393">
        <v>9.9499999999999993</v>
      </c>
      <c r="H14" s="394"/>
      <c r="I14" s="183">
        <f>G14*E14</f>
        <v>19.899999999999999</v>
      </c>
      <c r="J14" s="184">
        <f>I14*12</f>
        <v>238.79999999999998</v>
      </c>
      <c r="K14" s="63"/>
    </row>
    <row r="15" spans="1:12" ht="16.5" customHeight="1" thickBot="1" x14ac:dyDescent="0.3">
      <c r="A15" s="401"/>
      <c r="B15" s="190" t="s">
        <v>153</v>
      </c>
      <c r="C15" s="389" t="s">
        <v>126</v>
      </c>
      <c r="D15" s="390"/>
      <c r="E15" s="391">
        <v>18</v>
      </c>
      <c r="F15" s="392"/>
      <c r="G15" s="393">
        <v>6.92</v>
      </c>
      <c r="H15" s="394"/>
      <c r="I15" s="183">
        <f>G15*E15</f>
        <v>124.56</v>
      </c>
      <c r="J15" s="184">
        <f>I15*12</f>
        <v>1494.72</v>
      </c>
      <c r="K15" s="63"/>
    </row>
    <row r="16" spans="1:12" ht="16.5" customHeight="1" thickBot="1" x14ac:dyDescent="0.3">
      <c r="A16" s="401"/>
      <c r="B16" s="190" t="s">
        <v>154</v>
      </c>
      <c r="C16" s="389" t="s">
        <v>155</v>
      </c>
      <c r="D16" s="390"/>
      <c r="E16" s="391">
        <v>1</v>
      </c>
      <c r="F16" s="392"/>
      <c r="G16" s="393">
        <v>9.92</v>
      </c>
      <c r="H16" s="394"/>
      <c r="I16" s="183">
        <f>G16*E16</f>
        <v>9.92</v>
      </c>
      <c r="J16" s="184">
        <f>I16*12</f>
        <v>119.03999999999999</v>
      </c>
      <c r="K16" s="63"/>
    </row>
    <row r="17" spans="1:11" ht="16.5" customHeight="1" thickBot="1" x14ac:dyDescent="0.3">
      <c r="A17" s="401"/>
      <c r="B17" s="192"/>
      <c r="C17" s="395" t="s">
        <v>156</v>
      </c>
      <c r="D17" s="396"/>
      <c r="E17" s="396"/>
      <c r="F17" s="396"/>
      <c r="G17" s="396"/>
      <c r="H17" s="396"/>
      <c r="I17" s="397"/>
      <c r="J17" s="185">
        <f>SUM(J12:J16)</f>
        <v>4121.16</v>
      </c>
      <c r="K17" s="63"/>
    </row>
    <row r="18" spans="1:11" ht="16.5" customHeight="1" x14ac:dyDescent="0.25">
      <c r="A18" s="401"/>
      <c r="B18" s="382" t="s">
        <v>157</v>
      </c>
      <c r="C18" s="383"/>
      <c r="D18" s="383"/>
      <c r="E18" s="383"/>
      <c r="F18" s="383"/>
      <c r="G18" s="383"/>
      <c r="H18" s="398"/>
      <c r="I18" s="398"/>
      <c r="J18" s="248"/>
    </row>
    <row r="19" spans="1:11" ht="16.5" customHeight="1" x14ac:dyDescent="0.25">
      <c r="A19" s="401"/>
      <c r="B19" s="384" t="s">
        <v>158</v>
      </c>
      <c r="C19" s="385"/>
      <c r="D19" s="385"/>
      <c r="E19" s="385"/>
      <c r="F19" s="385"/>
      <c r="G19" s="385"/>
      <c r="H19" s="388"/>
      <c r="I19" s="388"/>
      <c r="J19" s="249"/>
    </row>
    <row r="20" spans="1:11" ht="16.5" customHeight="1" x14ac:dyDescent="0.25">
      <c r="A20" s="401"/>
      <c r="B20" s="384" t="s">
        <v>159</v>
      </c>
      <c r="C20" s="385"/>
      <c r="D20" s="385"/>
      <c r="E20" s="385"/>
      <c r="F20" s="385"/>
      <c r="G20" s="385"/>
      <c r="H20" s="388"/>
      <c r="I20" s="388"/>
      <c r="J20" s="248"/>
    </row>
    <row r="21" spans="1:11" ht="16.5" customHeight="1" x14ac:dyDescent="0.25">
      <c r="A21" s="401"/>
      <c r="B21" s="384" t="s">
        <v>160</v>
      </c>
      <c r="C21" s="385"/>
      <c r="D21" s="385"/>
      <c r="E21" s="385"/>
      <c r="F21" s="385"/>
      <c r="G21" s="385"/>
      <c r="H21" s="388"/>
      <c r="I21" s="388"/>
      <c r="J21" s="248"/>
    </row>
    <row r="22" spans="1:11" ht="16.5" customHeight="1" thickBot="1" x14ac:dyDescent="0.3">
      <c r="A22" s="401"/>
      <c r="B22" s="386" t="s">
        <v>161</v>
      </c>
      <c r="C22" s="387"/>
      <c r="D22" s="387"/>
      <c r="E22" s="387"/>
      <c r="F22" s="387"/>
      <c r="G22" s="387"/>
      <c r="H22" s="381"/>
      <c r="I22" s="381"/>
      <c r="J22" s="250"/>
    </row>
  </sheetData>
  <mergeCells count="41">
    <mergeCell ref="B8:J8"/>
    <mergeCell ref="B21:G21"/>
    <mergeCell ref="H21:I21"/>
    <mergeCell ref="A1:A22"/>
    <mergeCell ref="B2:G2"/>
    <mergeCell ref="B6:F6"/>
    <mergeCell ref="B7:F7"/>
    <mergeCell ref="B9:J9"/>
    <mergeCell ref="B10:B11"/>
    <mergeCell ref="C10:D11"/>
    <mergeCell ref="E10:F10"/>
    <mergeCell ref="G10:H11"/>
    <mergeCell ref="I10:I11"/>
    <mergeCell ref="J10:J11"/>
    <mergeCell ref="E11:F11"/>
    <mergeCell ref="H2:J7"/>
    <mergeCell ref="C15:D15"/>
    <mergeCell ref="E15:F15"/>
    <mergeCell ref="G15:H15"/>
    <mergeCell ref="C12:D12"/>
    <mergeCell ref="E12:F12"/>
    <mergeCell ref="G12:H12"/>
    <mergeCell ref="C13:D13"/>
    <mergeCell ref="E13:F13"/>
    <mergeCell ref="G13:H13"/>
    <mergeCell ref="B1:J1"/>
    <mergeCell ref="H22:I22"/>
    <mergeCell ref="B18:G18"/>
    <mergeCell ref="B20:G20"/>
    <mergeCell ref="B22:G22"/>
    <mergeCell ref="B19:G19"/>
    <mergeCell ref="H19:I19"/>
    <mergeCell ref="H20:I20"/>
    <mergeCell ref="C16:D16"/>
    <mergeCell ref="E16:F16"/>
    <mergeCell ref="G16:H16"/>
    <mergeCell ref="C17:I17"/>
    <mergeCell ref="H18:I18"/>
    <mergeCell ref="C14:D14"/>
    <mergeCell ref="E14:F14"/>
    <mergeCell ref="G14:H14"/>
  </mergeCells>
  <printOptions horizontalCentered="1"/>
  <pageMargins left="0.9055118110236221" right="0.78740157480314965" top="1.7716535433070868" bottom="0.98425196850393704" header="0.31496062992125984" footer="0.31496062992125984"/>
  <pageSetup paperSize="9" scale="71" orientation="portrait"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10</vt:i4>
      </vt:variant>
    </vt:vector>
  </HeadingPairs>
  <TitlesOfParts>
    <vt:vector size="21" baseType="lpstr">
      <vt:lpstr>AFERIÇÃO CAC</vt:lpstr>
      <vt:lpstr>ENCARREGADO</vt:lpstr>
      <vt:lpstr>GARÇOM</vt:lpstr>
      <vt:lpstr>GARÇONETE</vt:lpstr>
      <vt:lpstr>COPEIRA</vt:lpstr>
      <vt:lpstr>AUX. OP. SERVIÇOS GERAIS</vt:lpstr>
      <vt:lpstr>MATERIAL</vt:lpstr>
      <vt:lpstr>UNIFORMES</vt:lpstr>
      <vt:lpstr>TREINAMENTO</vt:lpstr>
      <vt:lpstr>Quadro do 1º Apostilamento</vt:lpstr>
      <vt:lpstr>Encargos Sociais</vt:lpstr>
      <vt:lpstr>'AFERIÇÃO CAC'!Area_de_impressao</vt:lpstr>
      <vt:lpstr>'AUX. OP. SERVIÇOS GERAIS'!Area_de_impressao</vt:lpstr>
      <vt:lpstr>COPEIRA!Area_de_impressao</vt:lpstr>
      <vt:lpstr>'Encargos Sociais'!Area_de_impressao</vt:lpstr>
      <vt:lpstr>ENCARREGADO!Area_de_impressao</vt:lpstr>
      <vt:lpstr>GARÇOM!Area_de_impressao</vt:lpstr>
      <vt:lpstr>GARÇONETE!Area_de_impressao</vt:lpstr>
      <vt:lpstr>MATERIAL!Area_de_impressao</vt:lpstr>
      <vt:lpstr>TREINAMENTO!Area_de_impressao</vt:lpstr>
      <vt:lpstr>UNIFORMES!Area_de_impressao</vt:lpstr>
    </vt:vector>
  </TitlesOfParts>
  <Company>Controladoria-Geral da União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Ferreira de Macedo</dc:creator>
  <cp:lastModifiedBy>Cleusa Costa de Jesus</cp:lastModifiedBy>
  <cp:lastPrinted>2018-04-18T19:40:46Z</cp:lastPrinted>
  <dcterms:created xsi:type="dcterms:W3CDTF">2013-07-25T13:44:18Z</dcterms:created>
  <dcterms:modified xsi:type="dcterms:W3CDTF">2020-03-05T20:19:45Z</dcterms:modified>
</cp:coreProperties>
</file>